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460" tabRatio="690" activeTab="0"/>
  </bookViews>
  <sheets>
    <sheet name="ATP Simulator" sheetId="1" r:id="rId1"/>
    <sheet name="Exploitation Cost" sheetId="2" r:id="rId2"/>
    <sheet name="CO2 Emissions" sheetId="3" r:id="rId3"/>
    <sheet name="Fuel Cost" sheetId="4" r:id="rId4"/>
    <sheet name="Tables" sheetId="5" r:id="rId5"/>
    <sheet name="Fuel Prices" sheetId="6" r:id="rId6"/>
    <sheet name="Results" sheetId="7" r:id="rId7"/>
  </sheets>
  <definedNames>
    <definedName name="_xlnm.Print_Area" localSheetId="0">'ATP Simulator'!$D$1:$P$33</definedName>
  </definedNames>
  <calcPr fullCalcOnLoad="1"/>
</workbook>
</file>

<file path=xl/sharedStrings.xml><?xml version="1.0" encoding="utf-8"?>
<sst xmlns="http://schemas.openxmlformats.org/spreadsheetml/2006/main" count="368" uniqueCount="170">
  <si>
    <t>K</t>
  </si>
  <si>
    <t>Ti</t>
  </si>
  <si>
    <t>Kw</t>
  </si>
  <si>
    <t>%</t>
  </si>
  <si>
    <t>min/h</t>
  </si>
  <si>
    <t>Aging Factor</t>
  </si>
  <si>
    <t>Engine</t>
  </si>
  <si>
    <t>ºC</t>
  </si>
  <si>
    <t>€ / Ano</t>
  </si>
  <si>
    <t>Box</t>
  </si>
  <si>
    <t>Total</t>
  </si>
  <si>
    <t>CO2/ano</t>
  </si>
  <si>
    <t>Anos</t>
  </si>
  <si>
    <t>Box Aging</t>
  </si>
  <si>
    <t>Engine Aging</t>
  </si>
  <si>
    <t>BOX</t>
  </si>
  <si>
    <t>Equilibrio</t>
  </si>
  <si>
    <t>P Corrigida</t>
  </si>
  <si>
    <t>P Final</t>
  </si>
  <si>
    <t>Aprox</t>
  </si>
  <si>
    <t>Final</t>
  </si>
  <si>
    <t>Mean Surface</t>
  </si>
  <si>
    <t>% / year</t>
  </si>
  <si>
    <t>Insulation Box</t>
  </si>
  <si>
    <t>Thermal Equipment</t>
  </si>
  <si>
    <t>Initial Power at 0 ºC</t>
  </si>
  <si>
    <t>w</t>
  </si>
  <si>
    <t>Fuel Cost</t>
  </si>
  <si>
    <t>Kg / L fuel</t>
  </si>
  <si>
    <t>L / h</t>
  </si>
  <si>
    <t>€ / L</t>
  </si>
  <si>
    <t>Normal working Conditions</t>
  </si>
  <si>
    <t>Working Days</t>
  </si>
  <si>
    <t>days / year</t>
  </si>
  <si>
    <t>º C</t>
  </si>
  <si>
    <t>Inside Temperature</t>
  </si>
  <si>
    <t>Year</t>
  </si>
  <si>
    <t>Working</t>
  </si>
  <si>
    <t>Time</t>
  </si>
  <si>
    <t>min / h</t>
  </si>
  <si>
    <t>Inside</t>
  </si>
  <si>
    <t>Temp.</t>
  </si>
  <si>
    <t>Exploitation Costs</t>
  </si>
  <si>
    <t>€ / year</t>
  </si>
  <si>
    <t>Kg / year</t>
  </si>
  <si>
    <r>
      <t>w / m</t>
    </r>
    <r>
      <rPr>
        <vertAlign val="superscript"/>
        <sz val="10"/>
        <color indexed="12"/>
        <rFont val="Arial"/>
        <family val="2"/>
      </rPr>
      <t>2</t>
    </r>
    <r>
      <rPr>
        <sz val="10"/>
        <color indexed="12"/>
        <rFont val="Arial"/>
        <family val="2"/>
      </rPr>
      <t xml:space="preserve"> ºC</t>
    </r>
  </si>
  <si>
    <r>
      <t>m</t>
    </r>
    <r>
      <rPr>
        <vertAlign val="superscript"/>
        <sz val="10"/>
        <color indexed="12"/>
        <rFont val="Arial"/>
        <family val="2"/>
      </rPr>
      <t>2</t>
    </r>
  </si>
  <si>
    <r>
      <t>w/m</t>
    </r>
    <r>
      <rPr>
        <vertAlign val="superscript"/>
        <sz val="10"/>
        <color indexed="12"/>
        <rFont val="Arial"/>
        <family val="2"/>
      </rPr>
      <t>2</t>
    </r>
    <r>
      <rPr>
        <sz val="10"/>
        <color indexed="12"/>
        <rFont val="Arial"/>
        <family val="2"/>
      </rPr>
      <t xml:space="preserve"> ºC</t>
    </r>
  </si>
  <si>
    <t>Telmo Nobre</t>
  </si>
  <si>
    <t>w     -10 ºC</t>
  </si>
  <si>
    <t>w     -20 ºC</t>
  </si>
  <si>
    <t xml:space="preserve">Box </t>
  </si>
  <si>
    <t>Losses</t>
  </si>
  <si>
    <t>Capacity</t>
  </si>
  <si>
    <t>RESULTS</t>
  </si>
  <si>
    <t>rtnobre@isq.pt</t>
  </si>
  <si>
    <r>
      <t>CO</t>
    </r>
    <r>
      <rPr>
        <vertAlign val="subscript"/>
        <sz val="10"/>
        <color indexed="12"/>
        <rFont val="Arial"/>
        <family val="2"/>
      </rPr>
      <t>2</t>
    </r>
    <r>
      <rPr>
        <sz val="10"/>
        <color indexed="12"/>
        <rFont val="Arial"/>
        <family val="2"/>
      </rPr>
      <t xml:space="preserve"> emissions</t>
    </r>
  </si>
  <si>
    <r>
      <t>CO</t>
    </r>
    <r>
      <rPr>
        <vertAlign val="subscript"/>
        <sz val="10"/>
        <color indexed="12"/>
        <rFont val="Arial"/>
        <family val="2"/>
      </rPr>
      <t>2</t>
    </r>
    <r>
      <rPr>
        <sz val="10"/>
        <color indexed="12"/>
        <rFont val="Arial"/>
        <family val="2"/>
      </rPr>
      <t xml:space="preserve"> Emissions</t>
    </r>
  </si>
  <si>
    <t>Saving</t>
  </si>
  <si>
    <t>Cost</t>
  </si>
  <si>
    <t>€</t>
  </si>
  <si>
    <t>Initial payment</t>
  </si>
  <si>
    <t xml:space="preserve">Interest rates </t>
  </si>
  <si>
    <t>€ / month</t>
  </si>
  <si>
    <t>€  / year</t>
  </si>
  <si>
    <t>€ Total</t>
  </si>
  <si>
    <t>Lifetime</t>
  </si>
  <si>
    <t>Years</t>
  </si>
  <si>
    <t>Salvage value</t>
  </si>
  <si>
    <t>Total Fuel</t>
  </si>
  <si>
    <t>Fuel rate</t>
  </si>
  <si>
    <t>Fuel €</t>
  </si>
  <si>
    <t>Country</t>
  </si>
  <si>
    <t>Unleaded</t>
  </si>
  <si>
    <t>Diesel</t>
  </si>
  <si>
    <t>Austria</t>
  </si>
  <si>
    <t>Belgium</t>
  </si>
  <si>
    <t>Finland</t>
  </si>
  <si>
    <t>Germany</t>
  </si>
  <si>
    <t>Greece</t>
  </si>
  <si>
    <t>Netherlands</t>
  </si>
  <si>
    <t>Italy</t>
  </si>
  <si>
    <t>Luxembourg</t>
  </si>
  <si>
    <t>Portugal</t>
  </si>
  <si>
    <t>Spain</t>
  </si>
  <si>
    <t>France</t>
  </si>
  <si>
    <t>Average</t>
  </si>
  <si>
    <t>Prieces on July of each year (Euro per litre)</t>
  </si>
  <si>
    <t>http://www.aaroadwatch.ie/default.asp</t>
  </si>
  <si>
    <t>Price Comparisons  -</t>
  </si>
  <si>
    <t>Loan period</t>
  </si>
  <si>
    <t>Same Box</t>
  </si>
  <si>
    <t>Same box</t>
  </si>
  <si>
    <t>CO2 =</t>
  </si>
  <si>
    <t>Sum</t>
  </si>
  <si>
    <t>CO2 (Kg)</t>
  </si>
  <si>
    <t>Fuel (€)</t>
  </si>
  <si>
    <t>Profit (€)</t>
  </si>
  <si>
    <t>Sem Renovação</t>
  </si>
  <si>
    <t>Total Cost</t>
  </si>
  <si>
    <t>Inicial</t>
  </si>
  <si>
    <t>aquisition</t>
  </si>
  <si>
    <t>Total Year</t>
  </si>
  <si>
    <t>Control</t>
  </si>
  <si>
    <t>Aquisition</t>
  </si>
  <si>
    <t>Savings</t>
  </si>
  <si>
    <t>per year</t>
  </si>
  <si>
    <t>Thermal Engine</t>
  </si>
  <si>
    <t>Total Payments</t>
  </si>
  <si>
    <t>Ther</t>
  </si>
  <si>
    <t>Renovação caixa</t>
  </si>
  <si>
    <t>Kg / Year</t>
  </si>
  <si>
    <t>€ / Year</t>
  </si>
  <si>
    <t>L / Year</t>
  </si>
  <si>
    <t>CO2 Emissions</t>
  </si>
  <si>
    <t>w / m2 ºC</t>
  </si>
  <si>
    <t>RESULTS MAINTAINING THE SAME EQUIPMENT DURING 24 YEARS</t>
  </si>
  <si>
    <t>YEARS</t>
  </si>
  <si>
    <t xml:space="preserve">NEW THERMAL EQUIPMENT EVERY </t>
  </si>
  <si>
    <t>RESULTS WITH A NEW INSULATED BOX EVERY</t>
  </si>
  <si>
    <t>YEARS  &amp;</t>
  </si>
  <si>
    <t>Fuel</t>
  </si>
  <si>
    <t>CO2</t>
  </si>
  <si>
    <t>Emissions</t>
  </si>
  <si>
    <t>Controlo</t>
  </si>
  <si>
    <t>Therm</t>
  </si>
  <si>
    <t>Renovação Thermal</t>
  </si>
  <si>
    <r>
      <t>ATP AGING EFECTS COSTS AND CO</t>
    </r>
    <r>
      <rPr>
        <b/>
        <vertAlign val="superscript"/>
        <sz val="12"/>
        <color indexed="10"/>
        <rFont val="Arial"/>
        <family val="2"/>
      </rPr>
      <t>2</t>
    </r>
    <r>
      <rPr>
        <b/>
        <sz val="12"/>
        <color indexed="10"/>
        <rFont val="Arial"/>
        <family val="2"/>
      </rPr>
      <t xml:space="preserve"> EMISSION SIMULATOR</t>
    </r>
  </si>
  <si>
    <t>Initial Fuel Consume.</t>
  </si>
  <si>
    <t>Initial K Value</t>
  </si>
  <si>
    <t>Outside Temperature</t>
  </si>
  <si>
    <t>Fuel (L)</t>
  </si>
  <si>
    <t>Insulate Box</t>
  </si>
  <si>
    <t>Final Results Savings / Year</t>
  </si>
  <si>
    <t>Box Surface</t>
  </si>
  <si>
    <t>m2</t>
  </si>
  <si>
    <t>Thermal equipment consumption</t>
  </si>
  <si>
    <t>Box Initial cost</t>
  </si>
  <si>
    <t>Initial Payment</t>
  </si>
  <si>
    <t>Loan duration</t>
  </si>
  <si>
    <t>Thermal equip. Initial cost</t>
  </si>
  <si>
    <t>years</t>
  </si>
  <si>
    <t>K value aging</t>
  </si>
  <si>
    <t>Inflation rate</t>
  </si>
  <si>
    <t>Acquisition of a new Equipment with an inflation rate of</t>
  </si>
  <si>
    <t>New Box every n Years</t>
  </si>
  <si>
    <t>Custo Ini</t>
  </si>
  <si>
    <t>com Inflac.</t>
  </si>
  <si>
    <t>Pagamento</t>
  </si>
  <si>
    <t>anual</t>
  </si>
  <si>
    <t>Custo Inic.</t>
  </si>
  <si>
    <t>Anual</t>
  </si>
  <si>
    <r>
      <t>Payments (1</t>
    </r>
    <r>
      <rPr>
        <vertAlign val="superscript"/>
        <sz val="10"/>
        <color indexed="12"/>
        <rFont val="Arial"/>
        <family val="2"/>
      </rPr>
      <t>st</t>
    </r>
    <r>
      <rPr>
        <sz val="10"/>
        <color indexed="12"/>
        <rFont val="Arial"/>
        <family val="0"/>
      </rPr>
      <t xml:space="preserve"> loan)</t>
    </r>
  </si>
  <si>
    <t>Loan rate</t>
  </si>
  <si>
    <t>The Box should be renued</t>
  </si>
  <si>
    <t>every</t>
  </si>
  <si>
    <t>years.</t>
  </si>
  <si>
    <t xml:space="preserve">                                                  Thermal engine Life Time (Years)</t>
  </si>
  <si>
    <t>Valor</t>
  </si>
  <si>
    <t>Grupo</t>
  </si>
  <si>
    <t xml:space="preserve"> Thermal Insulated Box Lifetime (years)</t>
  </si>
  <si>
    <t>Caixa</t>
  </si>
  <si>
    <t>The Engine shoul be renued</t>
  </si>
  <si>
    <t>Engine renued every</t>
  </si>
  <si>
    <t>Box renued every</t>
  </si>
  <si>
    <t>Original Insulated Box Life time</t>
  </si>
  <si>
    <t>TABLE RESULTS</t>
  </si>
  <si>
    <t>Original Box Life time</t>
  </si>
  <si>
    <t>Total for Original Box Time life of</t>
  </si>
  <si>
    <t>AVERAGE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</si>
</sst>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0_ ;[Red]\-#,##0\ "/>
    <numFmt numFmtId="183" formatCode="#,##0\ &quot;€&quot;"/>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
    <numFmt numFmtId="190" formatCode="0;[Red]0"/>
    <numFmt numFmtId="191" formatCode="#.##0;[Red]#.##0"/>
    <numFmt numFmtId="192" formatCode="#.##0\ &quot;€&quot;"/>
  </numFmts>
  <fonts count="48">
    <font>
      <sz val="10"/>
      <name val="Arial"/>
      <family val="0"/>
    </font>
    <font>
      <u val="single"/>
      <sz val="10"/>
      <name val="Arial"/>
      <family val="2"/>
    </font>
    <font>
      <sz val="10"/>
      <color indexed="12"/>
      <name val="Arial"/>
      <family val="2"/>
    </font>
    <font>
      <vertAlign val="superscript"/>
      <sz val="10"/>
      <color indexed="12"/>
      <name val="Arial"/>
      <family val="2"/>
    </font>
    <font>
      <b/>
      <sz val="10"/>
      <name val="Arial"/>
      <family val="2"/>
    </font>
    <font>
      <b/>
      <sz val="12"/>
      <color indexed="12"/>
      <name val="Arial"/>
      <family val="2"/>
    </font>
    <font>
      <sz val="8"/>
      <name val="Arial"/>
      <family val="2"/>
    </font>
    <font>
      <b/>
      <sz val="10"/>
      <color indexed="17"/>
      <name val="Arial"/>
      <family val="2"/>
    </font>
    <font>
      <u val="single"/>
      <sz val="10"/>
      <color indexed="12"/>
      <name val="Arial"/>
      <family val="0"/>
    </font>
    <font>
      <u val="single"/>
      <sz val="10"/>
      <color indexed="36"/>
      <name val="Arial"/>
      <family val="0"/>
    </font>
    <font>
      <sz val="10"/>
      <color indexed="22"/>
      <name val="Arial"/>
      <family val="2"/>
    </font>
    <font>
      <b/>
      <sz val="10"/>
      <color indexed="12"/>
      <name val="Arial"/>
      <family val="2"/>
    </font>
    <font>
      <vertAlign val="subscript"/>
      <sz val="10"/>
      <color indexed="12"/>
      <name val="Arial"/>
      <family val="2"/>
    </font>
    <font>
      <b/>
      <sz val="10"/>
      <color indexed="10"/>
      <name val="Arial"/>
      <family val="2"/>
    </font>
    <font>
      <b/>
      <sz val="9"/>
      <name val="Verdana"/>
      <family val="2"/>
    </font>
    <font>
      <sz val="12"/>
      <name val="Arial"/>
      <family val="0"/>
    </font>
    <font>
      <b/>
      <sz val="8"/>
      <color indexed="10"/>
      <name val="Arial"/>
      <family val="2"/>
    </font>
    <font>
      <b/>
      <sz val="9.25"/>
      <name val="Arial"/>
      <family val="2"/>
    </font>
    <font>
      <sz val="14.25"/>
      <name val="Arial"/>
      <family val="0"/>
    </font>
    <font>
      <b/>
      <sz val="8.5"/>
      <name val="Arial"/>
      <family val="2"/>
    </font>
    <font>
      <sz val="8.75"/>
      <name val="Arial"/>
      <family val="2"/>
    </font>
    <font>
      <sz val="18"/>
      <name val="Arial"/>
      <family val="0"/>
    </font>
    <font>
      <b/>
      <sz val="8"/>
      <name val="Arial"/>
      <family val="2"/>
    </font>
    <font>
      <b/>
      <sz val="9.75"/>
      <name val="Arial"/>
      <family val="2"/>
    </font>
    <font>
      <sz val="10"/>
      <color indexed="10"/>
      <name val="Arial"/>
      <family val="2"/>
    </font>
    <font>
      <b/>
      <sz val="8.75"/>
      <name val="Arial"/>
      <family val="2"/>
    </font>
    <font>
      <b/>
      <sz val="6"/>
      <color indexed="30"/>
      <name val="Verdana"/>
      <family val="2"/>
    </font>
    <font>
      <sz val="6"/>
      <name val="Arial"/>
      <family val="0"/>
    </font>
    <font>
      <sz val="6"/>
      <color indexed="8"/>
      <name val="Verdana"/>
      <family val="2"/>
    </font>
    <font>
      <b/>
      <sz val="6"/>
      <color indexed="17"/>
      <name val="Arial"/>
      <family val="2"/>
    </font>
    <font>
      <b/>
      <sz val="12"/>
      <color indexed="10"/>
      <name val="Arial"/>
      <family val="2"/>
    </font>
    <font>
      <b/>
      <vertAlign val="superscript"/>
      <sz val="12"/>
      <color indexed="10"/>
      <name val="Arial"/>
      <family val="2"/>
    </font>
    <font>
      <b/>
      <sz val="14"/>
      <color indexed="10"/>
      <name val="Arial"/>
      <family val="2"/>
    </font>
    <font>
      <sz val="8"/>
      <color indexed="12"/>
      <name val="Arial"/>
      <family val="2"/>
    </font>
    <font>
      <sz val="4"/>
      <name val="Arial"/>
      <family val="2"/>
    </font>
    <font>
      <b/>
      <sz val="12"/>
      <name val="Arial"/>
      <family val="2"/>
    </font>
    <font>
      <b/>
      <sz val="8"/>
      <color indexed="12"/>
      <name val="Arial"/>
      <family val="2"/>
    </font>
    <font>
      <b/>
      <sz val="10"/>
      <color indexed="14"/>
      <name val="Arial"/>
      <family val="2"/>
    </font>
    <font>
      <sz val="8.5"/>
      <name val="Arial"/>
      <family val="2"/>
    </font>
    <font>
      <sz val="17.5"/>
      <name val="Arial"/>
      <family val="0"/>
    </font>
    <font>
      <sz val="19.75"/>
      <name val="Arial"/>
      <family val="0"/>
    </font>
    <font>
      <b/>
      <sz val="11.25"/>
      <name val="Arial"/>
      <family val="2"/>
    </font>
    <font>
      <sz val="6"/>
      <color indexed="12"/>
      <name val="Arial"/>
      <family val="0"/>
    </font>
    <font>
      <sz val="6"/>
      <color indexed="17"/>
      <name val="Arial"/>
      <family val="0"/>
    </font>
    <font>
      <b/>
      <vertAlign val="subscript"/>
      <sz val="8"/>
      <color indexed="10"/>
      <name val="Arial"/>
      <family val="2"/>
    </font>
    <font>
      <b/>
      <sz val="6"/>
      <color indexed="42"/>
      <name val="Arial"/>
      <family val="0"/>
    </font>
    <font>
      <sz val="6"/>
      <color indexed="42"/>
      <name val="Arial"/>
      <family val="0"/>
    </font>
    <font>
      <sz val="8"/>
      <color indexed="42"/>
      <name val="Arial"/>
      <family val="0"/>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s>
  <borders count="39">
    <border>
      <left/>
      <right/>
      <top/>
      <bottom/>
      <diagonal/>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4" fillId="2" borderId="4" xfId="0" applyNumberFormat="1" applyFont="1" applyFill="1" applyBorder="1" applyAlignment="1">
      <alignment/>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3" fontId="2" fillId="3" borderId="6" xfId="0" applyNumberFormat="1" applyFont="1" applyFill="1" applyBorder="1" applyAlignment="1">
      <alignment horizontal="center"/>
    </xf>
    <xf numFmtId="0" fontId="2" fillId="3" borderId="7" xfId="0" applyFont="1" applyFill="1" applyBorder="1" applyAlignment="1">
      <alignment horizontal="center"/>
    </xf>
    <xf numFmtId="2" fontId="2" fillId="3" borderId="8"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0" xfId="0" applyNumberFormat="1" applyFont="1" applyFill="1" applyBorder="1" applyAlignment="1">
      <alignment horizontal="center"/>
    </xf>
    <xf numFmtId="0" fontId="2" fillId="3" borderId="9" xfId="0" applyFont="1" applyFill="1" applyBorder="1" applyAlignment="1">
      <alignment horizontal="center"/>
    </xf>
    <xf numFmtId="2" fontId="2" fillId="3" borderId="10" xfId="0" applyNumberFormat="1" applyFont="1" applyFill="1" applyBorder="1" applyAlignment="1">
      <alignment horizontal="center"/>
    </xf>
    <xf numFmtId="3" fontId="2" fillId="3" borderId="10"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11" xfId="0" applyNumberFormat="1" applyFont="1" applyFill="1" applyBorder="1" applyAlignment="1">
      <alignment horizontal="center"/>
    </xf>
    <xf numFmtId="0" fontId="27" fillId="2" borderId="12" xfId="0" applyFont="1" applyFill="1" applyBorder="1" applyAlignment="1">
      <alignment/>
    </xf>
    <xf numFmtId="2" fontId="29" fillId="2" borderId="12" xfId="0" applyNumberFormat="1" applyFont="1" applyFill="1" applyBorder="1" applyAlignment="1">
      <alignment horizontal="center"/>
    </xf>
    <xf numFmtId="0" fontId="5" fillId="3" borderId="0" xfId="0" applyFont="1" applyFill="1" applyAlignment="1">
      <alignment/>
    </xf>
    <xf numFmtId="3" fontId="5" fillId="3" borderId="0" xfId="0" applyNumberFormat="1" applyFont="1" applyFill="1" applyAlignment="1">
      <alignment/>
    </xf>
    <xf numFmtId="2" fontId="5" fillId="3" borderId="0" xfId="0" applyNumberFormat="1" applyFont="1" applyFill="1" applyAlignment="1">
      <alignment/>
    </xf>
    <xf numFmtId="1" fontId="5" fillId="3" borderId="0" xfId="0" applyNumberFormat="1" applyFont="1" applyFill="1" applyAlignment="1">
      <alignment/>
    </xf>
    <xf numFmtId="181" fontId="5" fillId="3" borderId="0" xfId="0" applyNumberFormat="1" applyFont="1" applyFill="1" applyAlignment="1">
      <alignment/>
    </xf>
    <xf numFmtId="0" fontId="5" fillId="3" borderId="0" xfId="0" applyFont="1" applyFill="1" applyAlignment="1">
      <alignment horizontal="left" wrapText="1"/>
    </xf>
    <xf numFmtId="0" fontId="10" fillId="3" borderId="0" xfId="0" applyFont="1" applyFill="1" applyAlignment="1">
      <alignment/>
    </xf>
    <xf numFmtId="1" fontId="10" fillId="3" borderId="0" xfId="0" applyNumberFormat="1" applyFont="1" applyFill="1" applyAlignment="1">
      <alignment/>
    </xf>
    <xf numFmtId="3" fontId="10" fillId="3" borderId="0" xfId="0" applyNumberFormat="1" applyFont="1" applyFill="1" applyAlignment="1">
      <alignment/>
    </xf>
    <xf numFmtId="3" fontId="2" fillId="3" borderId="0" xfId="0" applyNumberFormat="1" applyFont="1" applyFill="1" applyAlignment="1">
      <alignment/>
    </xf>
    <xf numFmtId="3" fontId="0" fillId="3" borderId="0" xfId="0" applyNumberFormat="1" applyFill="1" applyAlignment="1">
      <alignment/>
    </xf>
    <xf numFmtId="0" fontId="0" fillId="3" borderId="0" xfId="0" applyFill="1" applyAlignment="1">
      <alignment/>
    </xf>
    <xf numFmtId="0" fontId="10" fillId="3" borderId="0" xfId="0" applyFont="1" applyFill="1" applyAlignment="1">
      <alignment/>
    </xf>
    <xf numFmtId="1" fontId="0" fillId="3" borderId="0" xfId="0" applyNumberFormat="1" applyFill="1" applyAlignment="1">
      <alignment/>
    </xf>
    <xf numFmtId="2" fontId="0" fillId="3" borderId="0" xfId="0" applyNumberFormat="1" applyFill="1" applyBorder="1" applyAlignment="1">
      <alignment/>
    </xf>
    <xf numFmtId="0" fontId="2" fillId="3" borderId="0" xfId="0" applyFont="1" applyFill="1" applyBorder="1" applyAlignment="1">
      <alignment/>
    </xf>
    <xf numFmtId="2" fontId="4" fillId="3" borderId="0" xfId="0" applyNumberFormat="1" applyFont="1" applyFill="1" applyBorder="1" applyAlignment="1">
      <alignment/>
    </xf>
    <xf numFmtId="181" fontId="0" fillId="3" borderId="0" xfId="0" applyNumberFormat="1" applyFill="1" applyAlignment="1" applyProtection="1">
      <alignment/>
      <protection hidden="1"/>
    </xf>
    <xf numFmtId="3" fontId="2" fillId="3" borderId="0" xfId="0" applyNumberFormat="1" applyFont="1" applyFill="1" applyBorder="1" applyAlignment="1">
      <alignment/>
    </xf>
    <xf numFmtId="3" fontId="7" fillId="3" borderId="0" xfId="0" applyNumberFormat="1" applyFont="1" applyFill="1" applyAlignment="1" applyProtection="1">
      <alignment horizontal="right"/>
      <protection hidden="1"/>
    </xf>
    <xf numFmtId="182" fontId="13" fillId="3" borderId="0" xfId="0" applyNumberFormat="1" applyFont="1" applyFill="1" applyBorder="1" applyAlignment="1">
      <alignment/>
    </xf>
    <xf numFmtId="0" fontId="11" fillId="3" borderId="0" xfId="0" applyFont="1" applyFill="1" applyAlignment="1">
      <alignment horizontal="right"/>
    </xf>
    <xf numFmtId="3" fontId="13" fillId="3" borderId="0" xfId="0" applyNumberFormat="1" applyFont="1" applyFill="1" applyBorder="1" applyAlignment="1">
      <alignment horizontal="right"/>
    </xf>
    <xf numFmtId="2" fontId="0" fillId="3" borderId="0" xfId="0" applyNumberFormat="1" applyFill="1" applyAlignment="1">
      <alignment/>
    </xf>
    <xf numFmtId="181" fontId="0" fillId="3" borderId="0" xfId="0" applyNumberFormat="1" applyFill="1" applyAlignment="1">
      <alignment/>
    </xf>
    <xf numFmtId="0" fontId="2" fillId="3" borderId="6" xfId="0" applyFont="1" applyFill="1" applyBorder="1" applyAlignment="1">
      <alignment horizontal="center"/>
    </xf>
    <xf numFmtId="1" fontId="2" fillId="3" borderId="6" xfId="0" applyNumberFormat="1" applyFont="1" applyFill="1" applyBorder="1" applyAlignment="1">
      <alignment horizontal="center"/>
    </xf>
    <xf numFmtId="0" fontId="2" fillId="3" borderId="8" xfId="0" applyFont="1" applyFill="1" applyBorder="1" applyAlignment="1">
      <alignment horizontal="center"/>
    </xf>
    <xf numFmtId="1" fontId="2" fillId="3" borderId="8" xfId="0" applyNumberFormat="1" applyFont="1" applyFill="1" applyBorder="1" applyAlignment="1">
      <alignment horizontal="center"/>
    </xf>
    <xf numFmtId="0" fontId="2" fillId="3" borderId="13" xfId="0" applyFont="1" applyFill="1" applyBorder="1" applyAlignment="1">
      <alignment horizontal="center"/>
    </xf>
    <xf numFmtId="181" fontId="2" fillId="3" borderId="0" xfId="0" applyNumberFormat="1" applyFont="1" applyFill="1" applyBorder="1" applyAlignment="1">
      <alignment horizontal="center"/>
    </xf>
    <xf numFmtId="0" fontId="2" fillId="3" borderId="14" xfId="0" applyFont="1" applyFill="1" applyBorder="1" applyAlignment="1">
      <alignment horizontal="center"/>
    </xf>
    <xf numFmtId="0" fontId="2" fillId="3" borderId="10" xfId="0" applyFont="1" applyFill="1" applyBorder="1" applyAlignment="1">
      <alignment horizontal="center"/>
    </xf>
    <xf numFmtId="1" fontId="2" fillId="3" borderId="10" xfId="0" applyNumberFormat="1" applyFont="1" applyFill="1" applyBorder="1" applyAlignment="1">
      <alignment horizontal="center"/>
    </xf>
    <xf numFmtId="0" fontId="2" fillId="3" borderId="15" xfId="0" applyFont="1" applyFill="1" applyBorder="1" applyAlignment="1">
      <alignment horizontal="center"/>
    </xf>
    <xf numFmtId="181" fontId="2" fillId="3" borderId="11" xfId="0" applyNumberFormat="1" applyFont="1" applyFill="1" applyBorder="1" applyAlignment="1">
      <alignment horizontal="center"/>
    </xf>
    <xf numFmtId="0" fontId="2" fillId="3" borderId="16" xfId="0" applyFont="1" applyFill="1" applyBorder="1" applyAlignment="1">
      <alignment horizontal="center"/>
    </xf>
    <xf numFmtId="0" fontId="4" fillId="3" borderId="17" xfId="0" applyFont="1" applyFill="1" applyBorder="1" applyAlignment="1">
      <alignment/>
    </xf>
    <xf numFmtId="4" fontId="7" fillId="3" borderId="4" xfId="0" applyNumberFormat="1" applyFont="1" applyFill="1" applyBorder="1" applyAlignment="1" applyProtection="1">
      <alignment/>
      <protection hidden="1"/>
    </xf>
    <xf numFmtId="3" fontId="7" fillId="3" borderId="4" xfId="0" applyNumberFormat="1" applyFont="1" applyFill="1" applyBorder="1" applyAlignment="1" applyProtection="1">
      <alignment/>
      <protection hidden="1"/>
    </xf>
    <xf numFmtId="1" fontId="7" fillId="3" borderId="4" xfId="0" applyNumberFormat="1" applyFont="1" applyFill="1" applyBorder="1" applyAlignment="1" applyProtection="1">
      <alignment/>
      <protection hidden="1"/>
    </xf>
    <xf numFmtId="180" fontId="7" fillId="3" borderId="4" xfId="0" applyNumberFormat="1" applyFont="1" applyFill="1" applyBorder="1" applyAlignment="1" applyProtection="1">
      <alignment/>
      <protection hidden="1"/>
    </xf>
    <xf numFmtId="3" fontId="7" fillId="3" borderId="18" xfId="0" applyNumberFormat="1" applyFont="1" applyFill="1" applyBorder="1" applyAlignment="1" applyProtection="1">
      <alignment/>
      <protection hidden="1"/>
    </xf>
    <xf numFmtId="0" fontId="4" fillId="3" borderId="19" xfId="0" applyFont="1" applyFill="1" applyBorder="1" applyAlignment="1">
      <alignment/>
    </xf>
    <xf numFmtId="4" fontId="7" fillId="3" borderId="20" xfId="0" applyNumberFormat="1" applyFont="1" applyFill="1" applyBorder="1" applyAlignment="1" applyProtection="1">
      <alignment/>
      <protection hidden="1"/>
    </xf>
    <xf numFmtId="3" fontId="7" fillId="3" borderId="20" xfId="0" applyNumberFormat="1" applyFont="1" applyFill="1" applyBorder="1" applyAlignment="1" applyProtection="1">
      <alignment/>
      <protection hidden="1"/>
    </xf>
    <xf numFmtId="1" fontId="7" fillId="3" borderId="20" xfId="0" applyNumberFormat="1" applyFont="1" applyFill="1" applyBorder="1" applyAlignment="1" applyProtection="1">
      <alignment/>
      <protection hidden="1"/>
    </xf>
    <xf numFmtId="180" fontId="7" fillId="3" borderId="20" xfId="0" applyNumberFormat="1" applyFont="1" applyFill="1" applyBorder="1" applyAlignment="1" applyProtection="1">
      <alignment/>
      <protection hidden="1"/>
    </xf>
    <xf numFmtId="3" fontId="7" fillId="3" borderId="21" xfId="0" applyNumberFormat="1" applyFont="1" applyFill="1" applyBorder="1" applyAlignment="1" applyProtection="1">
      <alignment/>
      <protection hidden="1"/>
    </xf>
    <xf numFmtId="3" fontId="0" fillId="3" borderId="0" xfId="0" applyNumberFormat="1" applyFont="1" applyFill="1" applyAlignment="1">
      <alignment/>
    </xf>
    <xf numFmtId="181" fontId="10" fillId="3" borderId="0" xfId="0" applyNumberFormat="1" applyFont="1" applyFill="1" applyAlignment="1">
      <alignment/>
    </xf>
    <xf numFmtId="0" fontId="0" fillId="3" borderId="0" xfId="0" applyFill="1" applyAlignment="1" applyProtection="1">
      <alignment/>
      <protection hidden="1"/>
    </xf>
    <xf numFmtId="0" fontId="0" fillId="3" borderId="22" xfId="0" applyFill="1" applyBorder="1" applyAlignment="1" applyProtection="1">
      <alignment/>
      <protection hidden="1"/>
    </xf>
    <xf numFmtId="0" fontId="0" fillId="3" borderId="23" xfId="0" applyFill="1" applyBorder="1" applyAlignment="1" applyProtection="1">
      <alignment/>
      <protection hidden="1"/>
    </xf>
    <xf numFmtId="2" fontId="0" fillId="3" borderId="24"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1" fontId="0" fillId="3" borderId="24" xfId="0" applyNumberFormat="1" applyFill="1" applyBorder="1" applyAlignment="1" applyProtection="1">
      <alignment/>
      <protection hidden="1"/>
    </xf>
    <xf numFmtId="3" fontId="0" fillId="3" borderId="0" xfId="0" applyNumberFormat="1" applyFill="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2" fontId="0" fillId="3" borderId="15" xfId="0" applyNumberFormat="1" applyFill="1" applyBorder="1" applyAlignment="1" applyProtection="1">
      <alignment/>
      <protection hidden="1"/>
    </xf>
    <xf numFmtId="2" fontId="0" fillId="3" borderId="0" xfId="0" applyNumberFormat="1" applyFill="1" applyAlignment="1" applyProtection="1">
      <alignment/>
      <protection hidden="1"/>
    </xf>
    <xf numFmtId="1" fontId="0" fillId="3" borderId="0" xfId="0" applyNumberFormat="1" applyFill="1" applyAlignment="1" applyProtection="1">
      <alignment/>
      <protection hidden="1"/>
    </xf>
    <xf numFmtId="4" fontId="0" fillId="3" borderId="0" xfId="0" applyNumberFormat="1" applyFill="1" applyAlignment="1" applyProtection="1">
      <alignment/>
      <protection hidden="1"/>
    </xf>
    <xf numFmtId="0" fontId="0" fillId="3" borderId="25" xfId="0" applyFill="1" applyBorder="1" applyAlignment="1" applyProtection="1">
      <alignment/>
      <protection hidden="1"/>
    </xf>
    <xf numFmtId="0" fontId="0" fillId="3" borderId="26" xfId="0" applyFill="1" applyBorder="1" applyAlignment="1" applyProtection="1">
      <alignment/>
      <protection hidden="1"/>
    </xf>
    <xf numFmtId="2" fontId="0" fillId="3" borderId="27" xfId="0" applyNumberFormat="1" applyFill="1" applyBorder="1" applyAlignment="1" applyProtection="1">
      <alignment/>
      <protection hidden="1"/>
    </xf>
    <xf numFmtId="0" fontId="0" fillId="3" borderId="27" xfId="0" applyFill="1" applyBorder="1" applyAlignment="1" applyProtection="1">
      <alignment/>
      <protection hidden="1"/>
    </xf>
    <xf numFmtId="3" fontId="0" fillId="3" borderId="26" xfId="0" applyNumberFormat="1" applyFill="1" applyBorder="1" applyAlignment="1" applyProtection="1">
      <alignment/>
      <protection hidden="1"/>
    </xf>
    <xf numFmtId="0" fontId="0" fillId="3" borderId="2" xfId="0" applyFill="1" applyBorder="1" applyAlignment="1" applyProtection="1">
      <alignment/>
      <protection hidden="1"/>
    </xf>
    <xf numFmtId="2" fontId="0" fillId="3" borderId="0" xfId="0" applyNumberFormat="1" applyFill="1" applyBorder="1" applyAlignment="1" applyProtection="1">
      <alignment/>
      <protection hidden="1"/>
    </xf>
    <xf numFmtId="0" fontId="0" fillId="3" borderId="13" xfId="0" applyFill="1" applyBorder="1" applyAlignment="1" applyProtection="1">
      <alignment/>
      <protection hidden="1"/>
    </xf>
    <xf numFmtId="0" fontId="0" fillId="3" borderId="0" xfId="0" applyFill="1" applyBorder="1" applyAlignment="1" applyProtection="1">
      <alignment/>
      <protection hidden="1"/>
    </xf>
    <xf numFmtId="3" fontId="0" fillId="3" borderId="0" xfId="0" applyNumberFormat="1" applyFill="1" applyBorder="1" applyAlignment="1" applyProtection="1">
      <alignment/>
      <protection hidden="1"/>
    </xf>
    <xf numFmtId="2" fontId="0" fillId="3" borderId="11" xfId="0" applyNumberFormat="1" applyFill="1" applyBorder="1" applyAlignment="1" applyProtection="1">
      <alignment/>
      <protection hidden="1"/>
    </xf>
    <xf numFmtId="0" fontId="0" fillId="3" borderId="15" xfId="0" applyFill="1" applyBorder="1" applyAlignment="1" applyProtection="1">
      <alignment/>
      <protection hidden="1"/>
    </xf>
    <xf numFmtId="3" fontId="0" fillId="3" borderId="11" xfId="0" applyNumberFormat="1" applyFill="1" applyBorder="1" applyAlignment="1" applyProtection="1">
      <alignment/>
      <protection hidden="1"/>
    </xf>
    <xf numFmtId="182" fontId="0" fillId="3" borderId="0" xfId="0" applyNumberFormat="1" applyFill="1" applyAlignment="1" applyProtection="1">
      <alignment/>
      <protection hidden="1"/>
    </xf>
    <xf numFmtId="0" fontId="2" fillId="2" borderId="2" xfId="0" applyFont="1" applyFill="1" applyBorder="1" applyAlignment="1">
      <alignment/>
    </xf>
    <xf numFmtId="2" fontId="0" fillId="2" borderId="0" xfId="0" applyNumberFormat="1" applyFill="1" applyBorder="1" applyAlignment="1">
      <alignment/>
    </xf>
    <xf numFmtId="2" fontId="4" fillId="2" borderId="0" xfId="0" applyNumberFormat="1" applyFont="1" applyFill="1" applyBorder="1" applyAlignment="1" applyProtection="1">
      <alignment/>
      <protection locked="0"/>
    </xf>
    <xf numFmtId="3" fontId="2" fillId="2" borderId="13" xfId="0" applyNumberFormat="1" applyFont="1" applyFill="1" applyBorder="1" applyAlignment="1">
      <alignment/>
    </xf>
    <xf numFmtId="0" fontId="4" fillId="2" borderId="0" xfId="0" applyFont="1" applyFill="1" applyBorder="1" applyAlignment="1" applyProtection="1">
      <alignment/>
      <protection locked="0"/>
    </xf>
    <xf numFmtId="0" fontId="2" fillId="2" borderId="3" xfId="0" applyFont="1" applyFill="1" applyBorder="1" applyAlignment="1">
      <alignment/>
    </xf>
    <xf numFmtId="2" fontId="0" fillId="2" borderId="11" xfId="0" applyNumberFormat="1" applyFill="1" applyBorder="1" applyAlignment="1">
      <alignment/>
    </xf>
    <xf numFmtId="4" fontId="4" fillId="2" borderId="11" xfId="0" applyNumberFormat="1" applyFont="1" applyFill="1" applyBorder="1" applyAlignment="1" applyProtection="1">
      <alignment/>
      <protection locked="0"/>
    </xf>
    <xf numFmtId="3" fontId="2" fillId="2" borderId="15" xfId="0" applyNumberFormat="1" applyFont="1" applyFill="1" applyBorder="1" applyAlignment="1">
      <alignment/>
    </xf>
    <xf numFmtId="3" fontId="2" fillId="4" borderId="2" xfId="0" applyNumberFormat="1" applyFont="1" applyFill="1" applyBorder="1" applyAlignment="1">
      <alignment/>
    </xf>
    <xf numFmtId="3" fontId="0" fillId="4" borderId="0" xfId="0" applyNumberFormat="1" applyFill="1" applyBorder="1" applyAlignment="1">
      <alignment/>
    </xf>
    <xf numFmtId="3" fontId="4" fillId="4" borderId="0" xfId="0" applyNumberFormat="1" applyFont="1" applyFill="1" applyBorder="1" applyAlignment="1" applyProtection="1">
      <alignment/>
      <protection locked="0"/>
    </xf>
    <xf numFmtId="3" fontId="2" fillId="4" borderId="0" xfId="0" applyNumberFormat="1" applyFont="1" applyFill="1" applyBorder="1" applyAlignment="1">
      <alignment/>
    </xf>
    <xf numFmtId="3" fontId="2" fillId="4" borderId="13" xfId="0" applyNumberFormat="1" applyFont="1" applyFill="1" applyBorder="1" applyAlignment="1">
      <alignment/>
    </xf>
    <xf numFmtId="181" fontId="4" fillId="4" borderId="0" xfId="0" applyNumberFormat="1" applyFont="1" applyFill="1" applyBorder="1" applyAlignment="1" applyProtection="1">
      <alignment horizontal="right"/>
      <protection hidden="1" locked="0"/>
    </xf>
    <xf numFmtId="181" fontId="0" fillId="4" borderId="0" xfId="0" applyNumberFormat="1" applyFill="1" applyBorder="1" applyAlignment="1">
      <alignment/>
    </xf>
    <xf numFmtId="0" fontId="4" fillId="4" borderId="0" xfId="0" applyFont="1" applyFill="1" applyBorder="1" applyAlignment="1" applyProtection="1">
      <alignment horizontal="right"/>
      <protection locked="0"/>
    </xf>
    <xf numFmtId="2" fontId="4" fillId="4" borderId="0" xfId="0" applyNumberFormat="1" applyFont="1" applyFill="1" applyBorder="1" applyAlignment="1" applyProtection="1">
      <alignment/>
      <protection locked="0"/>
    </xf>
    <xf numFmtId="0" fontId="2" fillId="4" borderId="0" xfId="0" applyFont="1" applyFill="1" applyBorder="1" applyAlignment="1">
      <alignment/>
    </xf>
    <xf numFmtId="2" fontId="4" fillId="4" borderId="0" xfId="0" applyNumberFormat="1" applyFont="1" applyFill="1" applyAlignment="1" applyProtection="1">
      <alignment/>
      <protection locked="0"/>
    </xf>
    <xf numFmtId="3" fontId="2" fillId="4" borderId="13" xfId="0" applyNumberFormat="1" applyFont="1" applyFill="1" applyBorder="1" applyAlignment="1">
      <alignment/>
    </xf>
    <xf numFmtId="3" fontId="2" fillId="4" borderId="3" xfId="0" applyNumberFormat="1" applyFont="1" applyFill="1" applyBorder="1" applyAlignment="1">
      <alignment/>
    </xf>
    <xf numFmtId="3" fontId="0" fillId="4" borderId="11" xfId="0" applyNumberFormat="1" applyFill="1" applyBorder="1" applyAlignment="1">
      <alignment/>
    </xf>
    <xf numFmtId="4" fontId="4" fillId="4" borderId="11" xfId="0" applyNumberFormat="1" applyFont="1" applyFill="1" applyBorder="1" applyAlignment="1" applyProtection="1">
      <alignment horizontal="right"/>
      <protection locked="0"/>
    </xf>
    <xf numFmtId="3" fontId="2" fillId="4" borderId="11" xfId="0" applyNumberFormat="1" applyFont="1" applyFill="1" applyBorder="1" applyAlignment="1">
      <alignment/>
    </xf>
    <xf numFmtId="181" fontId="0" fillId="4" borderId="11" xfId="0" applyNumberFormat="1" applyFill="1" applyBorder="1" applyAlignment="1">
      <alignment/>
    </xf>
    <xf numFmtId="0" fontId="0" fillId="4" borderId="11" xfId="0" applyFill="1" applyBorder="1" applyAlignment="1">
      <alignment/>
    </xf>
    <xf numFmtId="3" fontId="0" fillId="4" borderId="15" xfId="0" applyNumberFormat="1" applyFill="1" applyBorder="1" applyAlignment="1">
      <alignment/>
    </xf>
    <xf numFmtId="2" fontId="0" fillId="5" borderId="26" xfId="0" applyNumberFormat="1" applyFill="1" applyBorder="1" applyAlignment="1">
      <alignment/>
    </xf>
    <xf numFmtId="0" fontId="0" fillId="5" borderId="26" xfId="0" applyFill="1" applyBorder="1" applyAlignment="1">
      <alignment/>
    </xf>
    <xf numFmtId="3" fontId="0" fillId="5" borderId="26" xfId="0" applyNumberFormat="1" applyFill="1" applyBorder="1" applyAlignment="1">
      <alignment/>
    </xf>
    <xf numFmtId="1" fontId="0" fillId="5" borderId="26" xfId="0" applyNumberFormat="1" applyFill="1" applyBorder="1" applyAlignment="1">
      <alignment/>
    </xf>
    <xf numFmtId="3" fontId="0" fillId="5" borderId="27" xfId="0" applyNumberFormat="1" applyFill="1" applyBorder="1" applyAlignment="1">
      <alignment/>
    </xf>
    <xf numFmtId="0" fontId="2" fillId="5" borderId="2" xfId="0" applyFont="1" applyFill="1" applyBorder="1" applyAlignment="1">
      <alignment/>
    </xf>
    <xf numFmtId="2" fontId="0" fillId="5" borderId="0" xfId="0" applyNumberFormat="1" applyFill="1" applyBorder="1" applyAlignment="1">
      <alignment/>
    </xf>
    <xf numFmtId="0" fontId="4" fillId="5" borderId="0" xfId="0" applyFont="1" applyFill="1" applyBorder="1" applyAlignment="1" applyProtection="1">
      <alignment/>
      <protection locked="0"/>
    </xf>
    <xf numFmtId="3" fontId="2" fillId="5" borderId="0" xfId="0" applyNumberFormat="1" applyFont="1" applyFill="1" applyBorder="1" applyAlignment="1">
      <alignment/>
    </xf>
    <xf numFmtId="1" fontId="0" fillId="5" borderId="0"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0" fontId="2" fillId="5" borderId="3" xfId="0" applyFont="1" applyFill="1" applyBorder="1" applyAlignment="1">
      <alignment/>
    </xf>
    <xf numFmtId="2" fontId="0" fillId="5" borderId="11" xfId="0" applyNumberFormat="1" applyFill="1" applyBorder="1" applyAlignment="1">
      <alignment/>
    </xf>
    <xf numFmtId="0" fontId="4" fillId="5" borderId="11" xfId="0" applyFont="1" applyFill="1" applyBorder="1" applyAlignment="1" applyProtection="1">
      <alignment/>
      <protection locked="0"/>
    </xf>
    <xf numFmtId="3" fontId="2" fillId="5" borderId="11" xfId="0" applyNumberFormat="1" applyFont="1" applyFill="1" applyBorder="1" applyAlignment="1">
      <alignment/>
    </xf>
    <xf numFmtId="1" fontId="0" fillId="5" borderId="11" xfId="0" applyNumberFormat="1" applyFill="1" applyBorder="1" applyAlignment="1">
      <alignment/>
    </xf>
    <xf numFmtId="3" fontId="0" fillId="5" borderId="11" xfId="0" applyNumberFormat="1" applyFill="1" applyBorder="1" applyAlignment="1">
      <alignment/>
    </xf>
    <xf numFmtId="3" fontId="2" fillId="5" borderId="15" xfId="0" applyNumberFormat="1" applyFont="1" applyFill="1" applyBorder="1" applyAlignment="1">
      <alignment/>
    </xf>
    <xf numFmtId="0" fontId="5" fillId="5" borderId="2" xfId="0" applyFont="1" applyFill="1" applyBorder="1" applyAlignment="1">
      <alignment/>
    </xf>
    <xf numFmtId="0" fontId="0" fillId="5" borderId="0" xfId="0" applyFill="1" applyBorder="1" applyAlignment="1">
      <alignment/>
    </xf>
    <xf numFmtId="0" fontId="2" fillId="5" borderId="2" xfId="0" applyFont="1" applyFill="1" applyBorder="1" applyAlignment="1">
      <alignment/>
    </xf>
    <xf numFmtId="3" fontId="2" fillId="5" borderId="0" xfId="0" applyNumberFormat="1" applyFont="1" applyFill="1" applyBorder="1" applyAlignment="1">
      <alignment/>
    </xf>
    <xf numFmtId="1" fontId="2" fillId="5" borderId="0" xfId="0" applyNumberFormat="1" applyFont="1" applyFill="1" applyBorder="1" applyAlignment="1">
      <alignment/>
    </xf>
    <xf numFmtId="3" fontId="2" fillId="5" borderId="13" xfId="0" applyNumberFormat="1" applyFont="1" applyFill="1" applyBorder="1" applyAlignment="1">
      <alignment/>
    </xf>
    <xf numFmtId="3" fontId="4" fillId="5" borderId="0" xfId="0" applyNumberFormat="1" applyFont="1" applyFill="1" applyBorder="1" applyAlignment="1">
      <alignment horizontal="right"/>
    </xf>
    <xf numFmtId="3" fontId="4" fillId="5" borderId="0" xfId="0" applyNumberFormat="1" applyFont="1" applyFill="1" applyBorder="1" applyAlignment="1" applyProtection="1">
      <alignment horizontal="right"/>
      <protection locked="0"/>
    </xf>
    <xf numFmtId="2" fontId="4" fillId="5" borderId="0" xfId="0" applyNumberFormat="1" applyFont="1" applyFill="1" applyBorder="1" applyAlignment="1" applyProtection="1">
      <alignment/>
      <protection locked="0"/>
    </xf>
    <xf numFmtId="182" fontId="13" fillId="5" borderId="0" xfId="0" applyNumberFormat="1" applyFont="1" applyFill="1" applyBorder="1" applyAlignment="1">
      <alignment horizontal="right"/>
    </xf>
    <xf numFmtId="182" fontId="13" fillId="5" borderId="0" xfId="0" applyNumberFormat="1" applyFont="1" applyFill="1" applyBorder="1" applyAlignment="1">
      <alignment/>
    </xf>
    <xf numFmtId="3" fontId="13" fillId="5" borderId="0" xfId="0" applyNumberFormat="1" applyFont="1" applyFill="1" applyBorder="1" applyAlignment="1">
      <alignment horizontal="right"/>
    </xf>
    <xf numFmtId="0" fontId="11" fillId="5" borderId="3" xfId="0" applyFont="1" applyFill="1" applyBorder="1" applyAlignment="1">
      <alignment/>
    </xf>
    <xf numFmtId="182" fontId="13" fillId="5" borderId="11" xfId="0" applyNumberFormat="1" applyFont="1" applyFill="1" applyBorder="1" applyAlignment="1">
      <alignment/>
    </xf>
    <xf numFmtId="3" fontId="2" fillId="5" borderId="11" xfId="0" applyNumberFormat="1" applyFont="1" applyFill="1" applyBorder="1" applyAlignment="1">
      <alignment/>
    </xf>
    <xf numFmtId="3" fontId="13" fillId="5" borderId="11" xfId="0" applyNumberFormat="1" applyFont="1" applyFill="1" applyBorder="1" applyAlignment="1">
      <alignment horizontal="right"/>
    </xf>
    <xf numFmtId="3" fontId="2" fillId="5" borderId="15" xfId="0" applyNumberFormat="1" applyFont="1" applyFill="1" applyBorder="1" applyAlignment="1">
      <alignment/>
    </xf>
    <xf numFmtId="0" fontId="0" fillId="6" borderId="2" xfId="0" applyFill="1" applyBorder="1" applyAlignment="1">
      <alignment/>
    </xf>
    <xf numFmtId="3" fontId="0" fillId="6" borderId="13" xfId="0" applyNumberFormat="1" applyFill="1" applyBorder="1" applyAlignment="1">
      <alignment/>
    </xf>
    <xf numFmtId="4" fontId="11" fillId="6" borderId="2" xfId="0" applyNumberFormat="1" applyFont="1" applyFill="1" applyBorder="1" applyAlignment="1" applyProtection="1">
      <alignment horizontal="right"/>
      <protection hidden="1"/>
    </xf>
    <xf numFmtId="3" fontId="7" fillId="6" borderId="0"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left"/>
      <protection hidden="1"/>
    </xf>
    <xf numFmtId="3" fontId="2" fillId="6" borderId="13" xfId="0" applyNumberFormat="1" applyFont="1" applyFill="1" applyBorder="1" applyAlignment="1">
      <alignment horizontal="left"/>
    </xf>
    <xf numFmtId="0" fontId="11" fillId="6" borderId="3" xfId="0" applyFont="1" applyFill="1" applyBorder="1" applyAlignment="1">
      <alignment horizontal="right"/>
    </xf>
    <xf numFmtId="3" fontId="7" fillId="6" borderId="11" xfId="0" applyNumberFormat="1" applyFont="1" applyFill="1" applyBorder="1" applyAlignment="1" applyProtection="1">
      <alignment horizontal="right"/>
      <protection hidden="1"/>
    </xf>
    <xf numFmtId="0" fontId="11" fillId="7" borderId="0" xfId="0" applyFont="1" applyFill="1" applyAlignment="1">
      <alignment horizontal="right"/>
    </xf>
    <xf numFmtId="181" fontId="0" fillId="7" borderId="0" xfId="0" applyNumberFormat="1" applyFont="1" applyFill="1" applyAlignment="1">
      <alignment horizontal="left"/>
    </xf>
    <xf numFmtId="3" fontId="7" fillId="7" borderId="0" xfId="0" applyNumberFormat="1" applyFont="1" applyFill="1" applyAlignment="1" applyProtection="1">
      <alignment horizontal="right"/>
      <protection hidden="1"/>
    </xf>
    <xf numFmtId="14" fontId="0" fillId="7" borderId="0" xfId="0" applyNumberFormat="1" applyFont="1" applyFill="1" applyAlignment="1">
      <alignment horizontal="left"/>
    </xf>
    <xf numFmtId="0" fontId="1" fillId="7" borderId="0" xfId="20" applyFont="1" applyFill="1" applyAlignment="1" applyProtection="1">
      <alignment/>
      <protection locked="0"/>
    </xf>
    <xf numFmtId="0" fontId="2" fillId="3" borderId="23" xfId="0" applyFont="1" applyFill="1" applyBorder="1" applyAlignment="1">
      <alignment/>
    </xf>
    <xf numFmtId="2" fontId="0" fillId="3" borderId="23" xfId="0" applyNumberFormat="1" applyFill="1" applyBorder="1" applyAlignment="1">
      <alignment/>
    </xf>
    <xf numFmtId="0" fontId="4" fillId="3" borderId="23" xfId="0" applyFont="1" applyFill="1" applyBorder="1" applyAlignment="1" applyProtection="1">
      <alignment/>
      <protection locked="0"/>
    </xf>
    <xf numFmtId="3" fontId="2" fillId="3" borderId="23" xfId="0" applyNumberFormat="1" applyFont="1" applyFill="1" applyBorder="1" applyAlignment="1">
      <alignment/>
    </xf>
    <xf numFmtId="1" fontId="0" fillId="3" borderId="23" xfId="0" applyNumberFormat="1" applyFill="1" applyBorder="1" applyAlignment="1">
      <alignment/>
    </xf>
    <xf numFmtId="3" fontId="0" fillId="3" borderId="23" xfId="0" applyNumberFormat="1" applyFill="1" applyBorder="1" applyAlignment="1">
      <alignment/>
    </xf>
    <xf numFmtId="0" fontId="0" fillId="5" borderId="0" xfId="0" applyFill="1" applyAlignment="1">
      <alignment/>
    </xf>
    <xf numFmtId="0" fontId="13" fillId="3" borderId="28" xfId="0" applyFont="1" applyFill="1" applyBorder="1" applyAlignment="1">
      <alignment horizontal="center"/>
    </xf>
    <xf numFmtId="0" fontId="24" fillId="3" borderId="0" xfId="0" applyFont="1" applyFill="1" applyAlignment="1">
      <alignment/>
    </xf>
    <xf numFmtId="0" fontId="13" fillId="3" borderId="28" xfId="0" applyFont="1" applyFill="1" applyBorder="1" applyAlignment="1">
      <alignment horizontal="left"/>
    </xf>
    <xf numFmtId="0" fontId="13" fillId="3" borderId="28" xfId="0" applyFont="1" applyFill="1" applyBorder="1" applyAlignment="1">
      <alignment horizontal="right"/>
    </xf>
    <xf numFmtId="3" fontId="13" fillId="3" borderId="28" xfId="0" applyNumberFormat="1" applyFont="1" applyFill="1" applyBorder="1" applyAlignment="1">
      <alignment horizontal="center"/>
    </xf>
    <xf numFmtId="3" fontId="13" fillId="3" borderId="28" xfId="0" applyNumberFormat="1" applyFont="1" applyFill="1" applyBorder="1" applyAlignment="1">
      <alignment horizontal="left"/>
    </xf>
    <xf numFmtId="0" fontId="13" fillId="3" borderId="0" xfId="0" applyFont="1" applyFill="1" applyAlignment="1">
      <alignment/>
    </xf>
    <xf numFmtId="180" fontId="0" fillId="3" borderId="0" xfId="0" applyNumberFormat="1" applyFill="1" applyAlignment="1">
      <alignment/>
    </xf>
    <xf numFmtId="4" fontId="7" fillId="4" borderId="4" xfId="0" applyNumberFormat="1" applyFont="1" applyFill="1" applyBorder="1" applyAlignment="1" applyProtection="1">
      <alignment/>
      <protection hidden="1"/>
    </xf>
    <xf numFmtId="3" fontId="7" fillId="4" borderId="4" xfId="0" applyNumberFormat="1" applyFont="1" applyFill="1" applyBorder="1" applyAlignment="1" applyProtection="1">
      <alignment/>
      <protection hidden="1"/>
    </xf>
    <xf numFmtId="180" fontId="7" fillId="4" borderId="4" xfId="0" applyNumberFormat="1" applyFont="1" applyFill="1" applyBorder="1" applyAlignment="1" applyProtection="1">
      <alignment/>
      <protection hidden="1"/>
    </xf>
    <xf numFmtId="3" fontId="7" fillId="5" borderId="4" xfId="0" applyNumberFormat="1" applyFont="1" applyFill="1" applyBorder="1" applyAlignment="1" applyProtection="1">
      <alignment/>
      <protection hidden="1"/>
    </xf>
    <xf numFmtId="181" fontId="7" fillId="5" borderId="4" xfId="0" applyNumberFormat="1" applyFont="1" applyFill="1" applyBorder="1" applyAlignment="1" applyProtection="1">
      <alignment/>
      <protection hidden="1"/>
    </xf>
    <xf numFmtId="0" fontId="2" fillId="8" borderId="5" xfId="0" applyFont="1" applyFill="1" applyBorder="1" applyAlignment="1">
      <alignment horizontal="center"/>
    </xf>
    <xf numFmtId="2" fontId="2" fillId="8" borderId="6" xfId="0" applyNumberFormat="1" applyFont="1" applyFill="1" applyBorder="1" applyAlignment="1">
      <alignment horizontal="center"/>
    </xf>
    <xf numFmtId="3" fontId="2" fillId="8" borderId="6" xfId="0" applyNumberFormat="1" applyFont="1" applyFill="1" applyBorder="1" applyAlignment="1">
      <alignment horizontal="center"/>
    </xf>
    <xf numFmtId="180" fontId="2" fillId="8" borderId="6" xfId="0" applyNumberFormat="1" applyFont="1" applyFill="1" applyBorder="1" applyAlignment="1">
      <alignment horizontal="center"/>
    </xf>
    <xf numFmtId="0" fontId="2" fillId="8" borderId="7" xfId="0" applyFont="1" applyFill="1" applyBorder="1" applyAlignment="1">
      <alignment horizontal="center"/>
    </xf>
    <xf numFmtId="2" fontId="2" fillId="8" borderId="8" xfId="0" applyNumberFormat="1" applyFont="1" applyFill="1" applyBorder="1" applyAlignment="1">
      <alignment horizontal="center"/>
    </xf>
    <xf numFmtId="3" fontId="2" fillId="8" borderId="8" xfId="0" applyNumberFormat="1" applyFont="1" applyFill="1" applyBorder="1" applyAlignment="1">
      <alignment horizontal="center"/>
    </xf>
    <xf numFmtId="180" fontId="2" fillId="8" borderId="8" xfId="0" applyNumberFormat="1" applyFont="1" applyFill="1" applyBorder="1" applyAlignment="1">
      <alignment horizontal="center"/>
    </xf>
    <xf numFmtId="3" fontId="2" fillId="8" borderId="2" xfId="0" applyNumberFormat="1" applyFont="1" applyFill="1" applyBorder="1" applyAlignment="1">
      <alignment horizontal="center"/>
    </xf>
    <xf numFmtId="3" fontId="2" fillId="8" borderId="0" xfId="0" applyNumberFormat="1" applyFont="1" applyFill="1" applyBorder="1" applyAlignment="1">
      <alignment horizontal="center"/>
    </xf>
    <xf numFmtId="3" fontId="2" fillId="8" borderId="13" xfId="0" applyNumberFormat="1" applyFont="1" applyFill="1" applyBorder="1" applyAlignment="1">
      <alignment horizontal="center"/>
    </xf>
    <xf numFmtId="3" fontId="2" fillId="8" borderId="14" xfId="0" applyNumberFormat="1" applyFont="1" applyFill="1" applyBorder="1" applyAlignment="1">
      <alignment horizontal="center"/>
    </xf>
    <xf numFmtId="0" fontId="2" fillId="8" borderId="9" xfId="0" applyFont="1" applyFill="1" applyBorder="1" applyAlignment="1">
      <alignment horizontal="center"/>
    </xf>
    <xf numFmtId="2" fontId="2" fillId="8" borderId="10" xfId="0" applyNumberFormat="1" applyFont="1" applyFill="1" applyBorder="1" applyAlignment="1">
      <alignment horizontal="center"/>
    </xf>
    <xf numFmtId="3" fontId="2" fillId="8" borderId="10" xfId="0" applyNumberFormat="1" applyFont="1" applyFill="1" applyBorder="1" applyAlignment="1">
      <alignment horizontal="center"/>
    </xf>
    <xf numFmtId="180" fontId="2" fillId="8" borderId="10" xfId="0" applyNumberFormat="1" applyFont="1" applyFill="1" applyBorder="1" applyAlignment="1">
      <alignment horizontal="center"/>
    </xf>
    <xf numFmtId="3" fontId="2" fillId="8" borderId="3" xfId="0" applyNumberFormat="1" applyFont="1" applyFill="1" applyBorder="1" applyAlignment="1">
      <alignment horizontal="center"/>
    </xf>
    <xf numFmtId="3" fontId="2" fillId="8" borderId="11" xfId="0" applyNumberFormat="1" applyFont="1" applyFill="1" applyBorder="1" applyAlignment="1">
      <alignment horizontal="center"/>
    </xf>
    <xf numFmtId="3" fontId="2" fillId="8" borderId="15" xfId="0" applyNumberFormat="1" applyFont="1" applyFill="1" applyBorder="1" applyAlignment="1">
      <alignment horizontal="center"/>
    </xf>
    <xf numFmtId="3" fontId="2" fillId="8" borderId="16" xfId="0" applyNumberFormat="1" applyFont="1" applyFill="1" applyBorder="1" applyAlignment="1">
      <alignment horizontal="center"/>
    </xf>
    <xf numFmtId="0" fontId="4" fillId="8" borderId="17" xfId="0" applyFont="1" applyFill="1" applyBorder="1" applyAlignment="1">
      <alignment/>
    </xf>
    <xf numFmtId="0" fontId="4" fillId="8" borderId="19" xfId="0" applyFont="1" applyFill="1" applyBorder="1" applyAlignment="1">
      <alignment/>
    </xf>
    <xf numFmtId="0" fontId="2" fillId="6" borderId="29" xfId="0" applyFont="1" applyFill="1" applyBorder="1" applyAlignment="1">
      <alignment horizontal="center"/>
    </xf>
    <xf numFmtId="3" fontId="2" fillId="6" borderId="30" xfId="0" applyNumberFormat="1" applyFont="1" applyFill="1" applyBorder="1" applyAlignment="1">
      <alignment horizontal="center"/>
    </xf>
    <xf numFmtId="3" fontId="2" fillId="6" borderId="31" xfId="0" applyNumberFormat="1" applyFont="1" applyFill="1" applyBorder="1" applyAlignment="1">
      <alignment horizontal="center"/>
    </xf>
    <xf numFmtId="3" fontId="4" fillId="6" borderId="4" xfId="0" applyNumberFormat="1" applyFont="1" applyFill="1" applyBorder="1" applyAlignment="1">
      <alignment/>
    </xf>
    <xf numFmtId="3" fontId="4" fillId="9" borderId="4" xfId="0" applyNumberFormat="1" applyFont="1" applyFill="1" applyBorder="1" applyAlignment="1">
      <alignment/>
    </xf>
    <xf numFmtId="3" fontId="4" fillId="10" borderId="4" xfId="0" applyNumberFormat="1" applyFont="1" applyFill="1" applyBorder="1" applyAlignment="1">
      <alignment/>
    </xf>
    <xf numFmtId="0" fontId="27" fillId="3" borderId="0" xfId="0" applyFont="1" applyFill="1" applyAlignment="1">
      <alignment/>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center" wrapText="1"/>
    </xf>
    <xf numFmtId="0" fontId="28" fillId="2" borderId="12" xfId="0" applyFont="1" applyFill="1" applyBorder="1" applyAlignment="1">
      <alignment horizontal="left" vertical="top" wrapText="1"/>
    </xf>
    <xf numFmtId="2" fontId="28" fillId="2" borderId="12" xfId="0" applyNumberFormat="1" applyFont="1" applyFill="1" applyBorder="1" applyAlignment="1">
      <alignment horizontal="center" vertical="top" wrapText="1"/>
    </xf>
    <xf numFmtId="0" fontId="5" fillId="5" borderId="25" xfId="0" applyFont="1" applyFill="1" applyBorder="1" applyAlignment="1">
      <alignment/>
    </xf>
    <xf numFmtId="3" fontId="35" fillId="3" borderId="0" xfId="0" applyNumberFormat="1" applyFont="1" applyFill="1" applyAlignment="1">
      <alignment/>
    </xf>
    <xf numFmtId="0" fontId="35" fillId="3" borderId="0" xfId="0" applyFont="1" applyFill="1" applyAlignment="1">
      <alignment/>
    </xf>
    <xf numFmtId="0" fontId="0" fillId="3" borderId="0" xfId="0" applyFont="1" applyFill="1" applyAlignment="1">
      <alignment/>
    </xf>
    <xf numFmtId="4" fontId="0" fillId="3" borderId="0" xfId="0" applyNumberFormat="1" applyFont="1" applyFill="1" applyAlignment="1" applyProtection="1">
      <alignment/>
      <protection hidden="1"/>
    </xf>
    <xf numFmtId="0" fontId="4" fillId="3" borderId="0" xfId="0" applyFont="1" applyFill="1" applyBorder="1" applyAlignment="1" applyProtection="1">
      <alignment/>
      <protection hidden="1" locked="0"/>
    </xf>
    <xf numFmtId="0" fontId="5" fillId="5" borderId="25" xfId="0" applyFont="1" applyFill="1" applyBorder="1" applyAlignment="1">
      <alignment/>
    </xf>
    <xf numFmtId="0" fontId="5" fillId="5" borderId="26" xfId="0" applyFont="1" applyFill="1" applyBorder="1" applyAlignment="1">
      <alignment/>
    </xf>
    <xf numFmtId="0" fontId="11" fillId="5" borderId="26" xfId="0" applyFont="1" applyFill="1" applyBorder="1" applyAlignment="1">
      <alignment/>
    </xf>
    <xf numFmtId="3" fontId="0" fillId="5" borderId="0" xfId="0" applyNumberFormat="1" applyFill="1" applyAlignment="1">
      <alignment/>
    </xf>
    <xf numFmtId="0" fontId="2" fillId="5" borderId="27" xfId="0" applyFont="1" applyFill="1" applyBorder="1" applyAlignment="1">
      <alignment/>
    </xf>
    <xf numFmtId="0" fontId="4" fillId="5" borderId="26" xfId="0" applyFont="1" applyFill="1" applyBorder="1" applyAlignment="1" applyProtection="1">
      <alignment/>
      <protection locked="0"/>
    </xf>
    <xf numFmtId="0" fontId="0" fillId="6" borderId="0" xfId="0" applyFill="1" applyBorder="1" applyAlignment="1">
      <alignment/>
    </xf>
    <xf numFmtId="3" fontId="2" fillId="6" borderId="15" xfId="0" applyNumberFormat="1" applyFont="1" applyFill="1" applyBorder="1" applyAlignment="1" applyProtection="1">
      <alignment horizontal="left"/>
      <protection hidden="1"/>
    </xf>
    <xf numFmtId="0" fontId="11" fillId="6" borderId="2" xfId="0" applyFont="1" applyFill="1" applyBorder="1" applyAlignment="1">
      <alignment horizontal="center"/>
    </xf>
    <xf numFmtId="3" fontId="11" fillId="6" borderId="13" xfId="0" applyNumberFormat="1" applyFont="1" applyFill="1" applyBorder="1" applyAlignment="1">
      <alignment/>
    </xf>
    <xf numFmtId="3" fontId="11" fillId="6" borderId="13" xfId="0" applyNumberFormat="1" applyFont="1" applyFill="1" applyBorder="1" applyAlignment="1">
      <alignment/>
    </xf>
    <xf numFmtId="4" fontId="7" fillId="5" borderId="4" xfId="0" applyNumberFormat="1" applyFont="1" applyFill="1" applyBorder="1" applyAlignment="1" applyProtection="1">
      <alignment/>
      <protection hidden="1"/>
    </xf>
    <xf numFmtId="3" fontId="2" fillId="2" borderId="13" xfId="0" applyNumberFormat="1" applyFont="1" applyFill="1" applyBorder="1" applyAlignment="1">
      <alignment/>
    </xf>
    <xf numFmtId="3" fontId="11" fillId="3" borderId="0" xfId="0" applyNumberFormat="1" applyFont="1" applyFill="1" applyAlignment="1">
      <alignment horizontal="right"/>
    </xf>
    <xf numFmtId="3" fontId="2" fillId="3" borderId="0" xfId="0" applyNumberFormat="1" applyFont="1" applyFill="1" applyAlignment="1">
      <alignment/>
    </xf>
    <xf numFmtId="3" fontId="37" fillId="3" borderId="0" xfId="0" applyNumberFormat="1" applyFont="1" applyFill="1" applyAlignment="1">
      <alignment horizontal="center"/>
    </xf>
    <xf numFmtId="0" fontId="6" fillId="0" borderId="0" xfId="0" applyFont="1" applyAlignment="1">
      <alignment/>
    </xf>
    <xf numFmtId="0" fontId="6" fillId="3" borderId="25" xfId="0" applyFont="1" applyFill="1" applyBorder="1" applyAlignment="1">
      <alignment/>
    </xf>
    <xf numFmtId="0" fontId="6" fillId="3" borderId="26" xfId="0" applyFont="1" applyFill="1" applyBorder="1" applyAlignment="1">
      <alignment/>
    </xf>
    <xf numFmtId="3" fontId="27" fillId="0" borderId="0" xfId="0" applyNumberFormat="1" applyFont="1" applyAlignment="1">
      <alignment/>
    </xf>
    <xf numFmtId="0" fontId="27" fillId="0" borderId="0" xfId="0" applyFont="1" applyAlignment="1">
      <alignment/>
    </xf>
    <xf numFmtId="0" fontId="27" fillId="3" borderId="2" xfId="0" applyFont="1" applyFill="1" applyBorder="1" applyAlignment="1">
      <alignment/>
    </xf>
    <xf numFmtId="0" fontId="27" fillId="3" borderId="0" xfId="0" applyFont="1" applyFill="1" applyBorder="1" applyAlignment="1">
      <alignment/>
    </xf>
    <xf numFmtId="3" fontId="27" fillId="3" borderId="4" xfId="0" applyNumberFormat="1" applyFont="1" applyFill="1" applyBorder="1" applyAlignment="1">
      <alignment/>
    </xf>
    <xf numFmtId="0" fontId="27" fillId="3" borderId="4" xfId="0" applyFont="1" applyFill="1" applyBorder="1" applyAlignment="1">
      <alignment/>
    </xf>
    <xf numFmtId="0" fontId="27" fillId="5" borderId="4" xfId="0" applyFont="1" applyFill="1" applyBorder="1" applyAlignment="1">
      <alignment/>
    </xf>
    <xf numFmtId="0" fontId="6" fillId="5" borderId="0" xfId="0" applyFont="1" applyFill="1" applyAlignment="1">
      <alignment/>
    </xf>
    <xf numFmtId="3" fontId="6" fillId="5" borderId="0" xfId="0" applyNumberFormat="1" applyFont="1" applyFill="1" applyAlignment="1">
      <alignment/>
    </xf>
    <xf numFmtId="3" fontId="33" fillId="5" borderId="0" xfId="0" applyNumberFormat="1" applyFont="1" applyFill="1" applyAlignment="1">
      <alignment/>
    </xf>
    <xf numFmtId="4" fontId="6" fillId="5" borderId="0" xfId="0" applyNumberFormat="1" applyFont="1" applyFill="1" applyAlignment="1">
      <alignment/>
    </xf>
    <xf numFmtId="0" fontId="33" fillId="5" borderId="0" xfId="0" applyFont="1" applyFill="1" applyAlignment="1">
      <alignment/>
    </xf>
    <xf numFmtId="3" fontId="16" fillId="5" borderId="0" xfId="0" applyNumberFormat="1" applyFont="1" applyFill="1" applyAlignment="1">
      <alignment/>
    </xf>
    <xf numFmtId="0" fontId="27" fillId="5" borderId="0" xfId="0" applyFont="1" applyFill="1" applyAlignment="1">
      <alignment/>
    </xf>
    <xf numFmtId="0" fontId="45" fillId="5" borderId="0" xfId="0" applyFont="1" applyFill="1" applyBorder="1" applyAlignment="1">
      <alignment horizontal="center" textRotation="90"/>
    </xf>
    <xf numFmtId="0" fontId="46" fillId="5" borderId="0" xfId="0" applyFont="1" applyFill="1" applyBorder="1" applyAlignment="1">
      <alignment/>
    </xf>
    <xf numFmtId="3" fontId="46" fillId="5" borderId="0" xfId="0" applyNumberFormat="1" applyFont="1" applyFill="1" applyBorder="1" applyAlignment="1">
      <alignment/>
    </xf>
    <xf numFmtId="0" fontId="46" fillId="5" borderId="0" xfId="0" applyFont="1" applyFill="1" applyAlignment="1">
      <alignment/>
    </xf>
    <xf numFmtId="3" fontId="46" fillId="5" borderId="0" xfId="0" applyNumberFormat="1" applyFont="1" applyFill="1" applyAlignment="1">
      <alignment/>
    </xf>
    <xf numFmtId="0" fontId="47" fillId="5" borderId="0" xfId="0" applyFont="1" applyFill="1" applyAlignment="1">
      <alignment/>
    </xf>
    <xf numFmtId="3" fontId="47" fillId="5" borderId="0" xfId="0" applyNumberFormat="1" applyFont="1" applyFill="1" applyAlignment="1">
      <alignment/>
    </xf>
    <xf numFmtId="0" fontId="27" fillId="4" borderId="33" xfId="0" applyFont="1" applyFill="1" applyBorder="1" applyAlignment="1">
      <alignment/>
    </xf>
    <xf numFmtId="0" fontId="42" fillId="4" borderId="34" xfId="0" applyFont="1" applyFill="1" applyBorder="1" applyAlignment="1">
      <alignment horizontal="center"/>
    </xf>
    <xf numFmtId="0" fontId="14" fillId="3" borderId="0" xfId="0" applyFont="1" applyFill="1" applyBorder="1" applyAlignment="1">
      <alignment wrapText="1"/>
    </xf>
    <xf numFmtId="0" fontId="27" fillId="4" borderId="32" xfId="0" applyFont="1" applyFill="1" applyBorder="1" applyAlignment="1">
      <alignment/>
    </xf>
    <xf numFmtId="2" fontId="6" fillId="5" borderId="33" xfId="0" applyNumberFormat="1" applyFont="1" applyFill="1" applyBorder="1" applyAlignment="1">
      <alignment horizontal="center" vertical="center"/>
    </xf>
    <xf numFmtId="2" fontId="6" fillId="5" borderId="34" xfId="0" applyNumberFormat="1" applyFont="1" applyFill="1" applyBorder="1" applyAlignment="1">
      <alignment horizontal="center" vertical="center"/>
    </xf>
    <xf numFmtId="2" fontId="6" fillId="5" borderId="32" xfId="0" applyNumberFormat="1" applyFont="1" applyFill="1" applyBorder="1" applyAlignment="1">
      <alignment horizontal="center" vertical="center"/>
    </xf>
    <xf numFmtId="0" fontId="37" fillId="2" borderId="0" xfId="0" applyFont="1" applyFill="1" applyBorder="1" applyAlignment="1" applyProtection="1">
      <alignment/>
      <protection locked="0"/>
    </xf>
    <xf numFmtId="0" fontId="13" fillId="6" borderId="0" xfId="0" applyFont="1" applyFill="1" applyBorder="1" applyAlignment="1" applyProtection="1">
      <alignment horizontal="center"/>
      <protection locked="0"/>
    </xf>
    <xf numFmtId="3" fontId="43" fillId="0" borderId="4" xfId="0" applyNumberFormat="1" applyFont="1" applyFill="1" applyBorder="1" applyAlignment="1" applyProtection="1">
      <alignment/>
      <protection locked="0"/>
    </xf>
    <xf numFmtId="3" fontId="46" fillId="5" borderId="0" xfId="0" applyNumberFormat="1" applyFont="1" applyFill="1" applyAlignment="1" applyProtection="1">
      <alignment/>
      <protection locked="0"/>
    </xf>
    <xf numFmtId="3" fontId="27" fillId="5" borderId="4" xfId="0" applyNumberFormat="1" applyFont="1" applyFill="1" applyBorder="1" applyAlignment="1" applyProtection="1">
      <alignment/>
      <protection locked="0"/>
    </xf>
    <xf numFmtId="0" fontId="46" fillId="5" borderId="0" xfId="0" applyFont="1" applyFill="1" applyAlignment="1" applyProtection="1">
      <alignment/>
      <protection locked="0"/>
    </xf>
    <xf numFmtId="0" fontId="6" fillId="5" borderId="0" xfId="0" applyFont="1" applyFill="1" applyAlignment="1" applyProtection="1">
      <alignment/>
      <protection locked="0"/>
    </xf>
    <xf numFmtId="3" fontId="22" fillId="5" borderId="0" xfId="0" applyNumberFormat="1" applyFont="1" applyFill="1" applyAlignment="1" applyProtection="1">
      <alignment/>
      <protection locked="0"/>
    </xf>
    <xf numFmtId="0" fontId="26" fillId="4" borderId="33"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left" wrapText="1"/>
    </xf>
    <xf numFmtId="0" fontId="26" fillId="4" borderId="12" xfId="0" applyFont="1" applyFill="1" applyBorder="1" applyAlignment="1">
      <alignment horizontal="center" vertical="top" wrapText="1"/>
    </xf>
    <xf numFmtId="0" fontId="30" fillId="3" borderId="0" xfId="0" applyFont="1" applyFill="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3" fontId="5" fillId="4" borderId="25" xfId="0" applyNumberFormat="1" applyFont="1" applyFill="1" applyBorder="1" applyAlignment="1">
      <alignment horizontal="center"/>
    </xf>
    <xf numFmtId="3" fontId="5" fillId="4" borderId="26" xfId="0" applyNumberFormat="1" applyFont="1" applyFill="1" applyBorder="1" applyAlignment="1">
      <alignment horizontal="center"/>
    </xf>
    <xf numFmtId="3" fontId="5" fillId="4" borderId="27" xfId="0" applyNumberFormat="1" applyFont="1" applyFill="1" applyBorder="1" applyAlignment="1">
      <alignment horizontal="center"/>
    </xf>
    <xf numFmtId="0" fontId="11" fillId="6" borderId="2" xfId="0" applyFont="1" applyFill="1" applyBorder="1" applyAlignment="1">
      <alignment horizontal="center"/>
    </xf>
    <xf numFmtId="0" fontId="11" fillId="6" borderId="0" xfId="0" applyFont="1" applyFill="1" applyBorder="1" applyAlignment="1">
      <alignment horizontal="center"/>
    </xf>
    <xf numFmtId="0" fontId="11" fillId="6" borderId="13" xfId="0" applyFont="1" applyFill="1" applyBorder="1" applyAlignment="1">
      <alignment horizontal="center"/>
    </xf>
    <xf numFmtId="0" fontId="32" fillId="6" borderId="25" xfId="0" applyFont="1" applyFill="1" applyBorder="1" applyAlignment="1">
      <alignment horizontal="center" wrapText="1"/>
    </xf>
    <xf numFmtId="0" fontId="32" fillId="6" borderId="26" xfId="0" applyFont="1" applyFill="1" applyBorder="1" applyAlignment="1">
      <alignment horizontal="center" wrapText="1"/>
    </xf>
    <xf numFmtId="0" fontId="32" fillId="6" borderId="27" xfId="0" applyFont="1" applyFill="1" applyBorder="1" applyAlignment="1">
      <alignment horizontal="center" wrapText="1"/>
    </xf>
    <xf numFmtId="0" fontId="32" fillId="6" borderId="2" xfId="0" applyFont="1" applyFill="1" applyBorder="1" applyAlignment="1">
      <alignment horizontal="center" wrapText="1"/>
    </xf>
    <xf numFmtId="0" fontId="32" fillId="6" borderId="0" xfId="0" applyFont="1" applyFill="1" applyBorder="1" applyAlignment="1">
      <alignment horizontal="center" wrapText="1"/>
    </xf>
    <xf numFmtId="0" fontId="32" fillId="6" borderId="13"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13" xfId="0" applyFont="1" applyFill="1" applyBorder="1" applyAlignment="1">
      <alignment horizontal="center" wrapText="1"/>
    </xf>
    <xf numFmtId="3" fontId="2" fillId="3" borderId="1" xfId="0" applyNumberFormat="1" applyFont="1" applyFill="1" applyBorder="1" applyAlignment="1">
      <alignment horizontal="center"/>
    </xf>
    <xf numFmtId="3" fontId="2" fillId="3" borderId="35" xfId="0" applyNumberFormat="1" applyFont="1" applyFill="1" applyBorder="1" applyAlignment="1">
      <alignment horizontal="center"/>
    </xf>
    <xf numFmtId="3" fontId="2" fillId="3" borderId="36" xfId="0" applyNumberFormat="1" applyFont="1" applyFill="1" applyBorder="1" applyAlignment="1">
      <alignment horizontal="center"/>
    </xf>
    <xf numFmtId="3" fontId="2" fillId="3" borderId="37" xfId="0" applyNumberFormat="1" applyFont="1" applyFill="1" applyBorder="1" applyAlignment="1">
      <alignment horizontal="center"/>
    </xf>
    <xf numFmtId="0" fontId="11" fillId="3" borderId="28" xfId="0" applyFont="1" applyFill="1" applyBorder="1" applyAlignment="1">
      <alignment horizontal="center"/>
    </xf>
    <xf numFmtId="3" fontId="13" fillId="5" borderId="0" xfId="0" applyNumberFormat="1" applyFont="1" applyFill="1" applyBorder="1" applyAlignment="1">
      <alignment horizontal="right"/>
    </xf>
    <xf numFmtId="3" fontId="2" fillId="8" borderId="1" xfId="0" applyNumberFormat="1" applyFont="1" applyFill="1" applyBorder="1" applyAlignment="1">
      <alignment horizontal="center"/>
    </xf>
    <xf numFmtId="3" fontId="2" fillId="8" borderId="35" xfId="0" applyNumberFormat="1" applyFont="1" applyFill="1" applyBorder="1" applyAlignment="1">
      <alignment horizontal="center"/>
    </xf>
    <xf numFmtId="3" fontId="2" fillId="8" borderId="37" xfId="0" applyNumberFormat="1" applyFont="1" applyFill="1" applyBorder="1" applyAlignment="1">
      <alignment horizontal="center"/>
    </xf>
    <xf numFmtId="0" fontId="13" fillId="3" borderId="28" xfId="0" applyFont="1" applyFill="1" applyBorder="1" applyAlignment="1">
      <alignment horizontal="center"/>
    </xf>
    <xf numFmtId="3" fontId="2" fillId="8" borderId="36" xfId="0" applyNumberFormat="1" applyFont="1" applyFill="1" applyBorder="1" applyAlignment="1">
      <alignment horizontal="center"/>
    </xf>
    <xf numFmtId="0" fontId="26" fillId="4" borderId="32" xfId="0" applyFont="1" applyFill="1" applyBorder="1" applyAlignment="1">
      <alignment horizontal="center" vertical="center" wrapText="1"/>
    </xf>
    <xf numFmtId="0" fontId="36" fillId="3" borderId="38" xfId="0" applyFont="1" applyFill="1" applyBorder="1" applyAlignment="1">
      <alignment horizontal="center" textRotation="90"/>
    </xf>
    <xf numFmtId="0" fontId="36" fillId="3" borderId="8" xfId="0" applyFont="1" applyFill="1" applyBorder="1" applyAlignment="1">
      <alignment horizontal="center" textRotation="90"/>
    </xf>
    <xf numFmtId="0" fontId="36" fillId="3" borderId="10" xfId="0" applyFont="1" applyFill="1" applyBorder="1" applyAlignment="1">
      <alignment horizontal="center" textRotation="90"/>
    </xf>
    <xf numFmtId="3" fontId="6" fillId="5" borderId="0" xfId="0" applyNumberFormat="1" applyFont="1" applyFill="1" applyAlignment="1">
      <alignment/>
    </xf>
    <xf numFmtId="3" fontId="6" fillId="5" borderId="0" xfId="0" applyNumberFormat="1" applyFont="1" applyFill="1" applyAlignment="1">
      <alignment horizontal="right"/>
    </xf>
    <xf numFmtId="0" fontId="22" fillId="2" borderId="0" xfId="0" applyFont="1" applyFill="1" applyAlignment="1">
      <alignment horizontal="center"/>
    </xf>
    <xf numFmtId="3" fontId="36" fillId="3" borderId="22" xfId="0" applyNumberFormat="1" applyFont="1" applyFill="1" applyBorder="1" applyAlignment="1">
      <alignment horizontal="center"/>
    </xf>
    <xf numFmtId="3" fontId="36" fillId="3" borderId="23" xfId="0" applyNumberFormat="1" applyFont="1" applyFill="1" applyBorder="1" applyAlignment="1">
      <alignment horizontal="center"/>
    </xf>
    <xf numFmtId="3" fontId="36"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color rgb="FFFF0000"/>
      </font>
      <border/>
    </dxf>
    <dxf>
      <font>
        <color rgb="FFFF00FF"/>
      </font>
      <border/>
    </dxf>
    <dxf>
      <font>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Fuel exploitations Cost</a:t>
            </a:r>
          </a:p>
        </c:rich>
      </c:tx>
      <c:layout/>
      <c:spPr>
        <a:noFill/>
        <a:ln>
          <a:noFill/>
        </a:ln>
      </c:spPr>
    </c:title>
    <c:plotArea>
      <c:layout>
        <c:manualLayout>
          <c:xMode val="edge"/>
          <c:yMode val="edge"/>
          <c:x val="0.00325"/>
          <c:y val="0.0485"/>
          <c:w val="0.99125"/>
          <c:h val="0.94575"/>
        </c:manualLayout>
      </c:layout>
      <c:scatterChart>
        <c:scatterStyle val="lineMarker"/>
        <c:varyColors val="0"/>
        <c:ser>
          <c:idx val="0"/>
          <c:order val="0"/>
          <c:tx>
            <c:v>Total Fuel cost (same equipment)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yVal>
            <c:numRef>
              <c:f>'ATP Simulator'!$K$133:$K$157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459873.000316933</c:v>
                </c:pt>
                <c:pt idx="9">
                  <c:v>520598.5361640328</c:v>
                </c:pt>
                <c:pt idx="10">
                  <c:v>589124.2735371402</c:v>
                </c:pt>
                <c:pt idx="11">
                  <c:v>666362.9648785674</c:v>
                </c:pt>
                <c:pt idx="12">
                  <c:v>751702.057491139</c:v>
                </c:pt>
                <c:pt idx="13">
                  <c:v>841308.1047343393</c:v>
                </c:pt>
                <c:pt idx="14">
                  <c:v>935394.4543396995</c:v>
                </c:pt>
                <c:pt idx="15">
                  <c:v>1034185.1214253277</c:v>
                </c:pt>
                <c:pt idx="16">
                  <c:v>1137915.3218652373</c:v>
                </c:pt>
                <c:pt idx="17">
                  <c:v>1246832.0323271425</c:v>
                </c:pt>
                <c:pt idx="18">
                  <c:v>1361194.578312143</c:v>
                </c:pt>
                <c:pt idx="19">
                  <c:v>1481275.2515963935</c:v>
                </c:pt>
                <c:pt idx="20">
                  <c:v>1607359.9585448564</c:v>
                </c:pt>
                <c:pt idx="21">
                  <c:v>1739748.9008407425</c:v>
                </c:pt>
                <c:pt idx="22">
                  <c:v>1878757.290251423</c:v>
                </c:pt>
                <c:pt idx="23">
                  <c:v>2024716.0991326375</c:v>
                </c:pt>
                <c:pt idx="24">
                  <c:v>2177972.848457913</c:v>
                </c:pt>
              </c:numCache>
            </c:numRef>
          </c:yVal>
          <c:smooth val="0"/>
        </c:ser>
        <c:ser>
          <c:idx val="1"/>
          <c:order val="1"/>
          <c:tx>
            <c:v>Total Fuel cost (new equipment)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yVal>
            <c:numRef>
              <c:f>'ATP Simulator'!$X$133:$X$157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456304.1430383854</c:v>
                </c:pt>
                <c:pt idx="9">
                  <c:v>503388.99305650615</c:v>
                </c:pt>
                <c:pt idx="10">
                  <c:v>555451.0860283127</c:v>
                </c:pt>
                <c:pt idx="11">
                  <c:v>613133.3329822669</c:v>
                </c:pt>
                <c:pt idx="12">
                  <c:v>691080.3543527138</c:v>
                </c:pt>
                <c:pt idx="13">
                  <c:v>765249.8565825168</c:v>
                </c:pt>
                <c:pt idx="14">
                  <c:v>846410.5144400895</c:v>
                </c:pt>
                <c:pt idx="15">
                  <c:v>923940.6856332658</c:v>
                </c:pt>
                <c:pt idx="16">
                  <c:v>1000366.9060768408</c:v>
                </c:pt>
                <c:pt idx="17">
                  <c:v>1075507.016557359</c:v>
                </c:pt>
                <c:pt idx="18">
                  <c:v>1157669.2606413795</c:v>
                </c:pt>
                <c:pt idx="19">
                  <c:v>1237551.2900853592</c:v>
                </c:pt>
                <c:pt idx="20">
                  <c:v>1326367.9696601566</c:v>
                </c:pt>
                <c:pt idx="21">
                  <c:v>1425244.1784706824</c:v>
                </c:pt>
                <c:pt idx="22">
                  <c:v>1535432.3965709396</c:v>
                </c:pt>
                <c:pt idx="23">
                  <c:v>1643796.640170964</c:v>
                </c:pt>
                <c:pt idx="24">
                  <c:v>1752373.8964654668</c:v>
                </c:pt>
              </c:numCache>
            </c:numRef>
          </c:yVal>
          <c:smooth val="0"/>
        </c:ser>
        <c:axId val="19225783"/>
        <c:axId val="38814320"/>
      </c:scatterChart>
      <c:scatterChart>
        <c:scatterStyle val="lineMarker"/>
        <c:varyColors val="0"/>
        <c:ser>
          <c:idx val="2"/>
          <c:order val="2"/>
          <c:tx>
            <c:v>Savings € / Year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'ATP Simulator'!$Y$133:$Y$157</c:f>
              <c:numCache>
                <c:ptCount val="25"/>
                <c:pt idx="0">
                  <c:v>0</c:v>
                </c:pt>
                <c:pt idx="1">
                  <c:v>0</c:v>
                </c:pt>
                <c:pt idx="2">
                  <c:v>0</c:v>
                </c:pt>
                <c:pt idx="3">
                  <c:v>0</c:v>
                </c:pt>
                <c:pt idx="4">
                  <c:v>0</c:v>
                </c:pt>
                <c:pt idx="5">
                  <c:v>0</c:v>
                </c:pt>
                <c:pt idx="6">
                  <c:v>0</c:v>
                </c:pt>
                <c:pt idx="7">
                  <c:v>0</c:v>
                </c:pt>
                <c:pt idx="8">
                  <c:v>3568.8572785476135</c:v>
                </c:pt>
                <c:pt idx="9">
                  <c:v>13640.68582897904</c:v>
                </c:pt>
                <c:pt idx="10">
                  <c:v>16463.6444013008</c:v>
                </c:pt>
                <c:pt idx="11">
                  <c:v>19556.444387472926</c:v>
                </c:pt>
                <c:pt idx="12">
                  <c:v>7392.071242124774</c:v>
                </c:pt>
                <c:pt idx="13">
                  <c:v>15436.545013397175</c:v>
                </c:pt>
                <c:pt idx="14">
                  <c:v>12925.691747787627</c:v>
                </c:pt>
                <c:pt idx="15">
                  <c:v>21260.495892451974</c:v>
                </c:pt>
                <c:pt idx="16">
                  <c:v>27303.97999633463</c:v>
                </c:pt>
                <c:pt idx="17">
                  <c:v>33776.599981387146</c:v>
                </c:pt>
                <c:pt idx="18">
                  <c:v>32200.301900979888</c:v>
                </c:pt>
                <c:pt idx="19">
                  <c:v>40198.6438402706</c:v>
                </c:pt>
                <c:pt idx="20">
                  <c:v>37268.02737366561</c:v>
                </c:pt>
                <c:pt idx="21">
                  <c:v>33512.73348536047</c:v>
                </c:pt>
                <c:pt idx="22">
                  <c:v>28820.17131042332</c:v>
                </c:pt>
                <c:pt idx="23">
                  <c:v>37594.56528119017</c:v>
                </c:pt>
                <c:pt idx="24">
                  <c:v>44679.49303077237</c:v>
                </c:pt>
              </c:numCache>
            </c:numRef>
          </c:yVal>
          <c:smooth val="0"/>
        </c:ser>
        <c:axId val="13784561"/>
        <c:axId val="56952186"/>
      </c:scatterChart>
      <c:valAx>
        <c:axId val="19225783"/>
        <c:scaling>
          <c:orientation val="minMax"/>
          <c:max val="25"/>
        </c:scaling>
        <c:axPos val="b"/>
        <c:title>
          <c:tx>
            <c:rich>
              <a:bodyPr vert="horz" rot="0" anchor="ctr"/>
              <a:lstStyle/>
              <a:p>
                <a:pPr algn="ctr">
                  <a:defRPr/>
                </a:pPr>
                <a:r>
                  <a:rPr lang="en-US" cap="none" sz="800" b="1" i="0" u="none" baseline="0">
                    <a:latin typeface="Arial"/>
                    <a:ea typeface="Arial"/>
                    <a:cs typeface="Arial"/>
                  </a:rPr>
                  <a:t>Years</a:t>
                </a:r>
              </a:p>
            </c:rich>
          </c:tx>
          <c:layout>
            <c:manualLayout>
              <c:xMode val="factor"/>
              <c:yMode val="factor"/>
              <c:x val="0.00875"/>
              <c:y val="-0.13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814320"/>
        <c:crosses val="autoZero"/>
        <c:crossBetween val="midCat"/>
        <c:dispUnits/>
        <c:majorUnit val="1"/>
      </c:valAx>
      <c:valAx>
        <c:axId val="38814320"/>
        <c:scaling>
          <c:orientation val="minMax"/>
        </c:scaling>
        <c:axPos val="l"/>
        <c:title>
          <c:tx>
            <c:rich>
              <a:bodyPr vert="horz" rot="0" anchor="ctr"/>
              <a:lstStyle/>
              <a:p>
                <a:pPr algn="ctr">
                  <a:defRPr/>
                </a:pPr>
                <a:r>
                  <a:rPr lang="en-US" cap="none" sz="800" b="1" i="0" u="none" baseline="0">
                    <a:latin typeface="Arial"/>
                    <a:ea typeface="Arial"/>
                    <a:cs typeface="Arial"/>
                  </a:rPr>
                  <a:t>Cost €</a:t>
                </a:r>
              </a:p>
            </c:rich>
          </c:tx>
          <c:layout>
            <c:manualLayout>
              <c:xMode val="factor"/>
              <c:yMode val="factor"/>
              <c:x val="0.01225"/>
              <c:y val="0.139"/>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225783"/>
        <c:crosses val="autoZero"/>
        <c:crossBetween val="midCat"/>
        <c:dispUnits/>
        <c:majorUnit val="100000"/>
        <c:minorUnit val="50000"/>
      </c:valAx>
      <c:valAx>
        <c:axId val="13784561"/>
        <c:scaling>
          <c:orientation val="minMax"/>
        </c:scaling>
        <c:axPos val="b"/>
        <c:delete val="1"/>
        <c:majorTickMark val="in"/>
        <c:minorTickMark val="none"/>
        <c:tickLblPos val="nextTo"/>
        <c:crossAx val="56952186"/>
        <c:crosses val="max"/>
        <c:crossBetween val="midCat"/>
        <c:dispUnits/>
      </c:valAx>
      <c:valAx>
        <c:axId val="56952186"/>
        <c:scaling>
          <c:orientation val="minMax"/>
        </c:scaling>
        <c:axPos val="l"/>
        <c:title>
          <c:tx>
            <c:rich>
              <a:bodyPr vert="horz" rot="0" anchor="ctr"/>
              <a:lstStyle/>
              <a:p>
                <a:pPr algn="ctr">
                  <a:defRPr/>
                </a:pPr>
                <a:r>
                  <a:rPr lang="en-US" cap="none" sz="800" b="1" i="0" u="none" baseline="0">
                    <a:latin typeface="Arial"/>
                    <a:ea typeface="Arial"/>
                    <a:cs typeface="Arial"/>
                  </a:rPr>
                  <a:t>Savings € / Year</a:t>
                </a:r>
              </a:p>
            </c:rich>
          </c:tx>
          <c:layout>
            <c:manualLayout>
              <c:xMode val="factor"/>
              <c:yMode val="factor"/>
              <c:x val="0.01025"/>
              <c:y val="0.138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3784561"/>
        <c:crosses val="max"/>
        <c:crossBetween val="midCat"/>
        <c:dispUnits/>
        <c:majorUnit val="10000"/>
      </c:valAx>
      <c:spPr>
        <a:gradFill rotWithShape="1">
          <a:gsLst>
            <a:gs pos="0">
              <a:srgbClr val="FFFF99"/>
            </a:gs>
            <a:gs pos="100000">
              <a:srgbClr val="C1C173"/>
            </a:gs>
          </a:gsLst>
          <a:path path="rect">
            <a:fillToRect r="100000" b="100000"/>
          </a:path>
        </a:gradFill>
        <a:ln w="12700">
          <a:solidFill>
            <a:srgbClr val="808080"/>
          </a:solidFill>
        </a:ln>
      </c:spPr>
    </c:plotArea>
    <c:legend>
      <c:legendPos val="r"/>
      <c:layout>
        <c:manualLayout>
          <c:xMode val="edge"/>
          <c:yMode val="edge"/>
          <c:x val="0.0665"/>
          <c:y val="0.07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CBCB79"/>
        </a:gs>
      </a:gsLst>
      <a:path path="rect">
        <a:fillToRect r="100000" b="100000"/>
      </a:path>
    </a:gradFill>
  </c:spPr>
  <c:txPr>
    <a:bodyPr vert="horz" rot="0"/>
    <a:lstStyle/>
    <a:p>
      <a:pPr>
        <a:defRPr lang="en-US" cap="none" sz="1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CO2 Emission Kg / Year</a:t>
            </a:r>
          </a:p>
        </c:rich>
      </c:tx>
      <c:layout>
        <c:manualLayout>
          <c:xMode val="factor"/>
          <c:yMode val="factor"/>
          <c:x val="-0.00325"/>
          <c:y val="-0.02075"/>
        </c:manualLayout>
      </c:layout>
      <c:spPr>
        <a:noFill/>
        <a:ln>
          <a:noFill/>
        </a:ln>
      </c:spPr>
    </c:title>
    <c:plotArea>
      <c:layout>
        <c:manualLayout>
          <c:xMode val="edge"/>
          <c:yMode val="edge"/>
          <c:x val="0.001"/>
          <c:y val="0.026"/>
          <c:w val="0.999"/>
          <c:h val="0.974"/>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Simulator'!$T$59:$T$83</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89714.33470332611</c:v>
                </c:pt>
                <c:pt idx="9">
                  <c:v>95485.95690257341</c:v>
                </c:pt>
                <c:pt idx="10">
                  <c:v>101501.57218743554</c:v>
                </c:pt>
                <c:pt idx="11">
                  <c:v>107760.83580566075</c:v>
                </c:pt>
                <c:pt idx="12">
                  <c:v>114262.40623260233</c:v>
                </c:pt>
                <c:pt idx="13">
                  <c:v>121003.8882003258</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Simulator'!$U$59:$U$83</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7786.627587783528</c:v>
                </c:pt>
                <c:pt idx="9">
                  <c:v>9420.557653132557</c:v>
                </c:pt>
                <c:pt idx="10">
                  <c:v>11242.968276335001</c:v>
                </c:pt>
                <c:pt idx="11">
                  <c:v>13267.597418845238</c:v>
                </c:pt>
                <c:pt idx="12">
                  <c:v>13091.193767397706</c:v>
                </c:pt>
                <c:pt idx="13">
                  <c:v>6349.711799674196</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Simulator'!$V$59:$V$83</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97500.96229110964</c:v>
                </c:pt>
                <c:pt idx="9">
                  <c:v>104906.51455570597</c:v>
                </c:pt>
                <c:pt idx="10">
                  <c:v>112744.54046377054</c:v>
                </c:pt>
                <c:pt idx="11">
                  <c:v>121028.43322450599</c:v>
                </c:pt>
                <c:pt idx="12">
                  <c:v>127353.60000000003</c:v>
                </c:pt>
                <c:pt idx="13">
                  <c:v>127353.6</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4"/>
          <c:order val="4"/>
          <c:tx>
            <c:v>do to K Value (new equipemnt)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Simulator'!$T$90:$T$114</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52086.30947628866</c:v>
                </c:pt>
                <c:pt idx="9">
                  <c:v>55992.782687010294</c:v>
                </c:pt>
                <c:pt idx="10">
                  <c:v>60117.5843449534</c:v>
                </c:pt>
                <c:pt idx="11">
                  <c:v>64466.089612571704</c:v>
                </c:pt>
                <c:pt idx="12">
                  <c:v>69043.18197506429</c:v>
                </c:pt>
                <c:pt idx="13">
                  <c:v>73853.19031932708</c:v>
                </c:pt>
                <c:pt idx="14">
                  <c:v>78899.8249911478</c:v>
                </c:pt>
                <c:pt idx="15">
                  <c:v>84186.1132655547</c:v>
                </c:pt>
                <c:pt idx="16">
                  <c:v>52086.30947628866</c:v>
                </c:pt>
                <c:pt idx="17">
                  <c:v>55992.782687010294</c:v>
                </c:pt>
                <c:pt idx="18">
                  <c:v>60117.5843449534</c:v>
                </c:pt>
                <c:pt idx="19">
                  <c:v>64466.089612571704</c:v>
                </c:pt>
                <c:pt idx="20">
                  <c:v>69043.18197506429</c:v>
                </c:pt>
                <c:pt idx="21">
                  <c:v>73853.19031932708</c:v>
                </c:pt>
                <c:pt idx="22">
                  <c:v>78899.8249911478</c:v>
                </c:pt>
                <c:pt idx="23">
                  <c:v>84186.1132655547</c:v>
                </c:pt>
                <c:pt idx="24">
                  <c:v>52086.30947628866</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Simulator'!$U$90:$U$114</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4520.756862937121</c:v>
                </c:pt>
                <c:pt idx="9">
                  <c:v>5524.197008367485</c:v>
                </c:pt>
                <c:pt idx="10">
                  <c:v>6659.011078095116</c:v>
                </c:pt>
                <c:pt idx="11">
                  <c:v>7937.114794555734</c:v>
                </c:pt>
                <c:pt idx="12">
                  <c:v>0</c:v>
                </c:pt>
                <c:pt idx="13">
                  <c:v>745.9918214073476</c:v>
                </c:pt>
                <c:pt idx="14">
                  <c:v>1610.118357019999</c:v>
                </c:pt>
                <c:pt idx="15">
                  <c:v>2603.2477694978797</c:v>
                </c:pt>
                <c:pt idx="16">
                  <c:v>2169.4751457798257</c:v>
                </c:pt>
                <c:pt idx="17">
                  <c:v>2945.140179525276</c:v>
                </c:pt>
                <c:pt idx="18">
                  <c:v>3833.5861293976495</c:v>
                </c:pt>
                <c:pt idx="19">
                  <c:v>4845.585953760542</c:v>
                </c:pt>
                <c:pt idx="20">
                  <c:v>5992.5044006982</c:v>
                </c:pt>
                <c:pt idx="21">
                  <c:v>7286.288579386302</c:v>
                </c:pt>
                <c:pt idx="22">
                  <c:v>8739.45309680302</c:v>
                </c:pt>
                <c:pt idx="23">
                  <c:v>10365.059353093953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Simulator'!$V$90:$V$114</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56607.066339225785</c:v>
                </c:pt>
                <c:pt idx="9">
                  <c:v>61516.97969537778</c:v>
                </c:pt>
                <c:pt idx="10">
                  <c:v>66776.59542304852</c:v>
                </c:pt>
                <c:pt idx="11">
                  <c:v>72403.20440712744</c:v>
                </c:pt>
                <c:pt idx="12">
                  <c:v>69043.18197506429</c:v>
                </c:pt>
                <c:pt idx="13">
                  <c:v>74599.18214073443</c:v>
                </c:pt>
                <c:pt idx="14">
                  <c:v>80509.9433481678</c:v>
                </c:pt>
                <c:pt idx="15">
                  <c:v>86789.36103505257</c:v>
                </c:pt>
                <c:pt idx="16">
                  <c:v>54255.78462206849</c:v>
                </c:pt>
                <c:pt idx="17">
                  <c:v>58937.92286653557</c:v>
                </c:pt>
                <c:pt idx="18">
                  <c:v>63951.17047435105</c:v>
                </c:pt>
                <c:pt idx="19">
                  <c:v>69311.67556633224</c:v>
                </c:pt>
                <c:pt idx="20">
                  <c:v>75035.6863757625</c:v>
                </c:pt>
                <c:pt idx="21">
                  <c:v>81139.4788987134</c:v>
                </c:pt>
                <c:pt idx="22">
                  <c:v>87639.27808795082</c:v>
                </c:pt>
                <c:pt idx="23">
                  <c:v>94551.17261864865</c:v>
                </c:pt>
                <c:pt idx="24">
                  <c:v>52086.30947628866</c:v>
                </c:pt>
              </c:numCache>
            </c:numRef>
          </c:yVal>
          <c:smooth val="1"/>
        </c:ser>
        <c:axId val="42807627"/>
        <c:axId val="49724324"/>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44865733"/>
        <c:axId val="1138414"/>
      </c:scatterChart>
      <c:valAx>
        <c:axId val="42807627"/>
        <c:scaling>
          <c:orientation val="minMax"/>
          <c:max val="25"/>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175"/>
              <c:y val="0"/>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49724324"/>
        <c:crosses val="autoZero"/>
        <c:crossBetween val="midCat"/>
        <c:dispUnits/>
        <c:majorUnit val="1"/>
        <c:minorUnit val="1"/>
      </c:valAx>
      <c:valAx>
        <c:axId val="49724324"/>
        <c:scaling>
          <c:orientation val="minMax"/>
        </c:scaling>
        <c:axPos val="l"/>
        <c:title>
          <c:tx>
            <c:rich>
              <a:bodyPr vert="horz" rot="0" anchor="ctr"/>
              <a:lstStyle/>
              <a:p>
                <a:pPr algn="ctr">
                  <a:defRPr/>
                </a:pPr>
                <a:r>
                  <a:rPr lang="en-US" cap="none" sz="850" b="1" i="0" u="none" baseline="0">
                    <a:latin typeface="Arial"/>
                    <a:ea typeface="Arial"/>
                    <a:cs typeface="Arial"/>
                  </a:rPr>
                  <a:t>Kg/year</a:t>
                </a:r>
              </a:p>
            </c:rich>
          </c:tx>
          <c:layout>
            <c:manualLayout>
              <c:xMode val="factor"/>
              <c:yMode val="factor"/>
              <c:x val="-0.005"/>
              <c:y val="0.1345"/>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807627"/>
        <c:crosses val="autoZero"/>
        <c:crossBetween val="midCat"/>
        <c:dispUnits/>
        <c:majorUnit val="10000"/>
        <c:minorUnit val="2500"/>
      </c:valAx>
      <c:valAx>
        <c:axId val="44865733"/>
        <c:scaling>
          <c:orientation val="minMax"/>
        </c:scaling>
        <c:axPos val="b"/>
        <c:delete val="1"/>
        <c:majorTickMark val="in"/>
        <c:minorTickMark val="none"/>
        <c:tickLblPos val="nextTo"/>
        <c:crossAx val="1138414"/>
        <c:crosses val="max"/>
        <c:crossBetween val="midCat"/>
        <c:dispUnits/>
      </c:valAx>
      <c:valAx>
        <c:axId val="1138414"/>
        <c:scaling>
          <c:orientation val="minMax"/>
          <c:max val="0"/>
          <c:min val="-3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44865733"/>
        <c:crosses val="max"/>
        <c:crossBetween val="midCat"/>
        <c:dispUnits/>
        <c:majorUnit val="1"/>
        <c:minorUnit val="0.5"/>
      </c:valAx>
      <c:spPr>
        <a:gradFill rotWithShape="1">
          <a:gsLst>
            <a:gs pos="0">
              <a:srgbClr val="CCFFCC"/>
            </a:gs>
            <a:gs pos="100000">
              <a:srgbClr val="9AC19A"/>
            </a:gs>
          </a:gsLst>
          <a:path path="rect">
            <a:fillToRect r="100000" b="100000"/>
          </a:path>
        </a:gradFill>
        <a:ln w="12700">
          <a:solidFill/>
        </a:ln>
      </c:spPr>
    </c:plotArea>
    <c:legend>
      <c:legendPos val="r"/>
      <c:layout>
        <c:manualLayout>
          <c:xMode val="edge"/>
          <c:yMode val="edge"/>
          <c:x val="0.062"/>
          <c:y val="0.0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B6E4B6"/>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Fuel Cost € / Year</a:t>
            </a:r>
          </a:p>
        </c:rich>
      </c:tx>
      <c:layout>
        <c:manualLayout>
          <c:xMode val="factor"/>
          <c:yMode val="factor"/>
          <c:x val="-0.00475"/>
          <c:y val="-0.02075"/>
        </c:manualLayout>
      </c:layout>
      <c:spPr>
        <a:noFill/>
        <a:ln>
          <a:noFill/>
        </a:ln>
      </c:spPr>
    </c:title>
    <c:plotArea>
      <c:layout>
        <c:manualLayout>
          <c:xMode val="edge"/>
          <c:yMode val="edge"/>
          <c:x val="0.0005"/>
          <c:y val="0.02525"/>
          <c:w val="0.9995"/>
          <c:h val="0.97475"/>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Simulator'!$Q$59:$Q$83</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49458.5567885609</c:v>
                </c:pt>
                <c:pt idx="9">
                  <c:v>55272.41013905623</c:v>
                </c:pt>
                <c:pt idx="10">
                  <c:v>61692.30057670761</c:v>
                </c:pt>
                <c:pt idx="11">
                  <c:v>68771.49206788483</c:v>
                </c:pt>
                <c:pt idx="12">
                  <c:v>76566.7406937796</c:v>
                </c:pt>
                <c:pt idx="13">
                  <c:v>85138.38731444819</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Simulator'!$R$59:$R$83</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4292.6848202719675</c:v>
                </c:pt>
                <c:pt idx="9">
                  <c:v>5453.125708043614</c:v>
                </c:pt>
                <c:pt idx="10">
                  <c:v>6833.4367963997465</c:v>
                </c:pt>
                <c:pt idx="11">
                  <c:v>8467.199273542325</c:v>
                </c:pt>
                <c:pt idx="12">
                  <c:v>8772.351918792034</c:v>
                </c:pt>
                <c:pt idx="13">
                  <c:v>4467.659928752008</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Simulator'!$S$59:$S$83</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53751.24160883287</c:v>
                </c:pt>
                <c:pt idx="9">
                  <c:v>60725.53584709984</c:v>
                </c:pt>
                <c:pt idx="10">
                  <c:v>68525.73737310736</c:v>
                </c:pt>
                <c:pt idx="11">
                  <c:v>77238.69134142715</c:v>
                </c:pt>
                <c:pt idx="12">
                  <c:v>85339.09261257164</c:v>
                </c:pt>
                <c:pt idx="13">
                  <c:v>89606.0472432002</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4"/>
          <c:order val="4"/>
          <c:tx>
            <c:v>do to K Value (new equipment)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Simulator'!$Q$90:$Q$114</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28714.627418889755</c:v>
                </c:pt>
                <c:pt idx="9">
                  <c:v>32411.6356990718</c:v>
                </c:pt>
                <c:pt idx="10">
                  <c:v>36539.2575053486</c:v>
                </c:pt>
                <c:pt idx="11">
                  <c:v>41141.37698814726</c:v>
                </c:pt>
                <c:pt idx="12">
                  <c:v>46265.53549202101</c:v>
                </c:pt>
                <c:pt idx="13">
                  <c:v>51963.13618786339</c:v>
                </c:pt>
                <c:pt idx="14">
                  <c:v>58289.64801873579</c:v>
                </c:pt>
                <c:pt idx="15">
                  <c:v>65304.80715779063</c:v>
                </c:pt>
                <c:pt idx="16">
                  <c:v>42424.58259641336</c:v>
                </c:pt>
                <c:pt idx="17">
                  <c:v>47886.747605701574</c:v>
                </c:pt>
                <c:pt idx="18">
                  <c:v>53985.12491328768</c:v>
                </c:pt>
                <c:pt idx="19">
                  <c:v>60784.551396116265</c:v>
                </c:pt>
                <c:pt idx="20">
                  <c:v>68355.26727250255</c:v>
                </c:pt>
                <c:pt idx="21">
                  <c:v>76773.21843711124</c:v>
                </c:pt>
                <c:pt idx="22">
                  <c:v>86120.35778182957</c:v>
                </c:pt>
                <c:pt idx="23">
                  <c:v>96484.94284087274</c:v>
                </c:pt>
                <c:pt idx="24">
                  <c:v>62680.43050754967</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Simulator'!$R$90:$R$114</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2492.245088504931</c:v>
                </c:pt>
                <c:pt idx="9">
                  <c:v>3197.702496158428</c:v>
                </c:pt>
                <c:pt idx="10">
                  <c:v>4047.3236435673866</c:v>
                </c:pt>
                <c:pt idx="11">
                  <c:v>5065.3581429164005</c:v>
                </c:pt>
                <c:pt idx="12">
                  <c:v>0</c:v>
                </c:pt>
                <c:pt idx="13">
                  <c:v>524.8801635137739</c:v>
                </c:pt>
                <c:pt idx="14">
                  <c:v>1189.5239604109488</c:v>
                </c:pt>
                <c:pt idx="15">
                  <c:v>2019.3899798503483</c:v>
                </c:pt>
                <c:pt idx="16">
                  <c:v>1767.049315615291</c:v>
                </c:pt>
                <c:pt idx="17">
                  <c:v>2518.7743432700595</c:v>
                </c:pt>
                <c:pt idx="18">
                  <c:v>3442.5306391864733</c:v>
                </c:pt>
                <c:pt idx="19">
                  <c:v>4568.863571852486</c:v>
                </c:pt>
                <c:pt idx="20">
                  <c:v>5932.797826283727</c:v>
                </c:pt>
                <c:pt idx="21">
                  <c:v>7574.37589740335</c:v>
                </c:pt>
                <c:pt idx="22">
                  <c:v>9539.245842416478</c:v>
                </c:pt>
                <c:pt idx="23">
                  <c:v>11879.300759151563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Simulator'!$S$90:$S$114</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31206.872507394684</c:v>
                </c:pt>
                <c:pt idx="9">
                  <c:v>35609.33819523023</c:v>
                </c:pt>
                <c:pt idx="10">
                  <c:v>40586.58114891599</c:v>
                </c:pt>
                <c:pt idx="11">
                  <c:v>46206.73513106366</c:v>
                </c:pt>
                <c:pt idx="12">
                  <c:v>46265.53549202101</c:v>
                </c:pt>
                <c:pt idx="13">
                  <c:v>52488.01635137716</c:v>
                </c:pt>
                <c:pt idx="14">
                  <c:v>59479.17197914674</c:v>
                </c:pt>
                <c:pt idx="15">
                  <c:v>67324.19713764098</c:v>
                </c:pt>
                <c:pt idx="16">
                  <c:v>44191.63191202865</c:v>
                </c:pt>
                <c:pt idx="17">
                  <c:v>50405.52194897163</c:v>
                </c:pt>
                <c:pt idx="18">
                  <c:v>57427.65555247415</c:v>
                </c:pt>
                <c:pt idx="19">
                  <c:v>65353.414967968754</c:v>
                </c:pt>
                <c:pt idx="20">
                  <c:v>74288.06509878628</c:v>
                </c:pt>
                <c:pt idx="21">
                  <c:v>84347.5943345146</c:v>
                </c:pt>
                <c:pt idx="22">
                  <c:v>95659.60362424605</c:v>
                </c:pt>
                <c:pt idx="23">
                  <c:v>108364.2436000243</c:v>
                </c:pt>
                <c:pt idx="24">
                  <c:v>62680.43050754967</c:v>
                </c:pt>
              </c:numCache>
            </c:numRef>
          </c:yVal>
          <c:smooth val="1"/>
        </c:ser>
        <c:axId val="10245727"/>
        <c:axId val="25102680"/>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24597529"/>
        <c:axId val="20051170"/>
      </c:scatterChart>
      <c:valAx>
        <c:axId val="10245727"/>
        <c:scaling>
          <c:orientation val="minMax"/>
          <c:max val="25"/>
        </c:scaling>
        <c:axPos val="b"/>
        <c:title>
          <c:tx>
            <c:rich>
              <a:bodyPr vert="horz" rot="0" anchor="ctr"/>
              <a:lstStyle/>
              <a:p>
                <a:pPr algn="ctr">
                  <a:defRPr/>
                </a:pPr>
                <a:r>
                  <a:rPr lang="en-US" cap="none" sz="800" b="1" i="0" u="none" baseline="0">
                    <a:latin typeface="Arial"/>
                    <a:ea typeface="Arial"/>
                    <a:cs typeface="Arial"/>
                  </a:rPr>
                  <a:t>Year</a:t>
                </a:r>
              </a:p>
            </c:rich>
          </c:tx>
          <c:layout>
            <c:manualLayout>
              <c:xMode val="factor"/>
              <c:yMode val="factor"/>
              <c:x val="0.01325"/>
              <c:y val="0"/>
            </c:manualLayout>
          </c:layout>
          <c:overlay val="0"/>
          <c:spPr>
            <a:noFill/>
            <a:ln>
              <a:noFill/>
            </a:ln>
          </c:spPr>
        </c:title>
        <c:majorGridlines>
          <c:spPr>
            <a:ln w="3175">
              <a:solidFill>
                <a:srgbClr val="80808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102680"/>
        <c:crosses val="autoZero"/>
        <c:crossBetween val="midCat"/>
        <c:dispUnits/>
        <c:majorUnit val="1"/>
        <c:minorUnit val="1"/>
      </c:valAx>
      <c:valAx>
        <c:axId val="25102680"/>
        <c:scaling>
          <c:orientation val="minMax"/>
        </c:scaling>
        <c:axPos val="l"/>
        <c:title>
          <c:tx>
            <c:rich>
              <a:bodyPr vert="horz" rot="0" anchor="ctr"/>
              <a:lstStyle/>
              <a:p>
                <a:pPr algn="ctr">
                  <a:defRPr/>
                </a:pPr>
                <a:r>
                  <a:rPr lang="en-US" cap="none" sz="800" b="1" i="0" u="none" baseline="0">
                    <a:latin typeface="Arial"/>
                    <a:ea typeface="Arial"/>
                    <a:cs typeface="Arial"/>
                  </a:rPr>
                  <a:t>€</a:t>
                </a:r>
              </a:p>
            </c:rich>
          </c:tx>
          <c:layout>
            <c:manualLayout>
              <c:xMode val="factor"/>
              <c:yMode val="factor"/>
              <c:x val="-0.005"/>
              <c:y val="0.1345"/>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245727"/>
        <c:crosses val="autoZero"/>
        <c:crossBetween val="midCat"/>
        <c:dispUnits/>
        <c:majorUnit val="10000"/>
        <c:minorUnit val="5000"/>
      </c:valAx>
      <c:valAx>
        <c:axId val="24597529"/>
        <c:scaling>
          <c:orientation val="minMax"/>
        </c:scaling>
        <c:axPos val="b"/>
        <c:delete val="1"/>
        <c:majorTickMark val="in"/>
        <c:minorTickMark val="none"/>
        <c:tickLblPos val="nextTo"/>
        <c:crossAx val="20051170"/>
        <c:crosses val="max"/>
        <c:crossBetween val="midCat"/>
        <c:dispUnits/>
      </c:valAx>
      <c:valAx>
        <c:axId val="20051170"/>
        <c:scaling>
          <c:orientation val="minMax"/>
          <c:max val="0"/>
          <c:min val="-30"/>
        </c:scaling>
        <c:axPos val="l"/>
        <c:title>
          <c:tx>
            <c:rich>
              <a:bodyPr vert="horz" rot="0" anchor="ctr"/>
              <a:lstStyle/>
              <a:p>
                <a:pPr algn="ctr">
                  <a:defRPr/>
                </a:pPr>
                <a:r>
                  <a:rPr lang="en-US" cap="none" sz="800" b="1" i="0" u="none" baseline="0">
                    <a:latin typeface="Arial"/>
                    <a:ea typeface="Arial"/>
                    <a:cs typeface="Arial"/>
                  </a:rPr>
                  <a:t>Ti ºC</a:t>
                </a:r>
              </a:p>
            </c:rich>
          </c:tx>
          <c:layout>
            <c:manualLayout>
              <c:xMode val="factor"/>
              <c:yMode val="factor"/>
              <c:x val="-0.00375"/>
              <c:y val="0.13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4597529"/>
        <c:crosses val="max"/>
        <c:crossBetween val="midCat"/>
        <c:dispUnits/>
      </c:valAx>
      <c:spPr>
        <a:gradFill rotWithShape="1">
          <a:gsLst>
            <a:gs pos="0">
              <a:srgbClr val="CCFFFF"/>
            </a:gs>
            <a:gs pos="100000">
              <a:srgbClr val="9AC1C1"/>
            </a:gs>
          </a:gsLst>
          <a:path path="rect">
            <a:fillToRect r="100000" b="100000"/>
          </a:path>
        </a:gradFill>
        <a:ln w="12700">
          <a:solidFill/>
        </a:ln>
      </c:spPr>
    </c:plotArea>
    <c:legend>
      <c:legendPos val="r"/>
      <c:layout>
        <c:manualLayout>
          <c:xMode val="edge"/>
          <c:yMode val="edge"/>
          <c:x val="0.05375"/>
          <c:y val="0.054"/>
          <c:w val="0.25125"/>
          <c:h val="0.26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B7E5E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Fuel prieces on July of each year</a:t>
            </a:r>
          </a:p>
        </c:rich>
      </c:tx>
      <c:layout>
        <c:manualLayout>
          <c:xMode val="factor"/>
          <c:yMode val="factor"/>
          <c:x val="-0.0105"/>
          <c:y val="-0.021"/>
        </c:manualLayout>
      </c:layout>
      <c:spPr>
        <a:noFill/>
        <a:ln>
          <a:noFill/>
        </a:ln>
      </c:spPr>
    </c:title>
    <c:plotArea>
      <c:layout>
        <c:manualLayout>
          <c:xMode val="edge"/>
          <c:yMode val="edge"/>
          <c:x val="0.00925"/>
          <c:y val="0.0455"/>
          <c:w val="0.957"/>
          <c:h val="0.9545"/>
        </c:manualLayout>
      </c:layout>
      <c:lineChart>
        <c:grouping val="standard"/>
        <c:varyColors val="0"/>
        <c:ser>
          <c:idx val="0"/>
          <c:order val="0"/>
          <c:tx>
            <c:v>Unleaded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'Fuel Prices'!$D$4:$H$4</c:f>
              <c:numCache>
                <c:ptCount val="5"/>
                <c:pt idx="0">
                  <c:v>0</c:v>
                </c:pt>
                <c:pt idx="1">
                  <c:v>0</c:v>
                </c:pt>
                <c:pt idx="2">
                  <c:v>0</c:v>
                </c:pt>
                <c:pt idx="3">
                  <c:v>0</c:v>
                </c:pt>
                <c:pt idx="4">
                  <c:v>0</c:v>
                </c:pt>
              </c:numCache>
            </c:numRef>
          </c:cat>
          <c:val>
            <c:numRef>
              <c:f>'Fuel Prices'!$D$16:$H$16</c:f>
              <c:numCache>
                <c:ptCount val="5"/>
                <c:pt idx="0">
                  <c:v>0</c:v>
                </c:pt>
                <c:pt idx="1">
                  <c:v>0</c:v>
                </c:pt>
                <c:pt idx="2">
                  <c:v>0</c:v>
                </c:pt>
                <c:pt idx="3">
                  <c:v>0</c:v>
                </c:pt>
                <c:pt idx="4">
                  <c:v>0</c:v>
                </c:pt>
              </c:numCache>
            </c:numRef>
          </c:val>
          <c:smooth val="0"/>
        </c:ser>
        <c:ser>
          <c:idx val="1"/>
          <c:order val="1"/>
          <c:tx>
            <c:v>Diesel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00"/>
                </a:solidFill>
              </a:ln>
            </c:spPr>
          </c:marker>
          <c:trendline>
            <c:spPr>
              <a:ln w="25400">
                <a:solidFill>
                  <a:srgbClr val="FF0000"/>
                </a:solidFill>
                <a:prstDash val="dash"/>
              </a:ln>
            </c:spPr>
            <c:trendlineType val="linear"/>
            <c:dispEq val="1"/>
            <c:dispRSqr val="0"/>
            <c:trendlineLbl>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c:trendlineLbl>
          </c:trendline>
          <c:val>
            <c:numRef>
              <c:f>'Fuel Prices'!$I$16:$M$16</c:f>
              <c:numCache>
                <c:ptCount val="5"/>
                <c:pt idx="0">
                  <c:v>0</c:v>
                </c:pt>
                <c:pt idx="1">
                  <c:v>0</c:v>
                </c:pt>
                <c:pt idx="2">
                  <c:v>0</c:v>
                </c:pt>
                <c:pt idx="3">
                  <c:v>0</c:v>
                </c:pt>
                <c:pt idx="4">
                  <c:v>0</c:v>
                </c:pt>
              </c:numCache>
            </c:numRef>
          </c:val>
          <c:smooth val="0"/>
        </c:ser>
        <c:marker val="1"/>
        <c:axId val="46242803"/>
        <c:axId val="13532044"/>
      </c:lineChart>
      <c:catAx>
        <c:axId val="46242803"/>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532044"/>
        <c:crosses val="autoZero"/>
        <c:auto val="1"/>
        <c:lblOffset val="100"/>
        <c:tickLblSkip val="1"/>
        <c:noMultiLvlLbl val="0"/>
      </c:catAx>
      <c:valAx>
        <c:axId val="13532044"/>
        <c:scaling>
          <c:orientation val="minMax"/>
          <c:min val="0.5"/>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42803"/>
        <c:crossesAt val="1"/>
        <c:crossBetween val="between"/>
        <c:dispUnits/>
        <c:majorUnit val="0.05"/>
      </c:valAx>
      <c:spPr>
        <a:gradFill rotWithShape="1">
          <a:gsLst>
            <a:gs pos="0">
              <a:srgbClr val="FFFFCC"/>
            </a:gs>
            <a:gs pos="100000">
              <a:srgbClr val="C1C19A"/>
            </a:gs>
          </a:gsLst>
          <a:path path="rect">
            <a:fillToRect r="100000" b="100000"/>
          </a:path>
        </a:gradFill>
        <a:ln w="12700">
          <a:solidFill/>
        </a:ln>
      </c:spPr>
    </c:plotArea>
    <c:legend>
      <c:legendPos val="r"/>
      <c:layout>
        <c:manualLayout>
          <c:xMode val="edge"/>
          <c:yMode val="edge"/>
          <c:x val="0.1005"/>
          <c:y val="0.13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A8A86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Savings per Year (€)</a:t>
            </a:r>
          </a:p>
        </c:rich>
      </c:tx>
      <c:layout>
        <c:manualLayout>
          <c:xMode val="factor"/>
          <c:yMode val="factor"/>
          <c:x val="0"/>
          <c:y val="-0.0205"/>
        </c:manualLayout>
      </c:layout>
      <c:spPr>
        <a:noFill/>
        <a:ln>
          <a:noFill/>
        </a:ln>
      </c:spPr>
    </c:title>
    <c:plotArea>
      <c:layout>
        <c:manualLayout>
          <c:xMode val="edge"/>
          <c:yMode val="edge"/>
          <c:x val="0.001"/>
          <c:y val="0.0375"/>
          <c:w val="0.886"/>
          <c:h val="0.93275"/>
        </c:manualLayout>
      </c:layout>
      <c:scatterChart>
        <c:scatterStyle val="lineMarker"/>
        <c:varyColors val="0"/>
        <c:ser>
          <c:idx val="0"/>
          <c:order val="0"/>
          <c:tx>
            <c:v>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Results!$D$9:$AA$9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
          <c:order val="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Results!$D$10:$AA$10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2"/>
          <c:tx>
            <c:v>3</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Results!$D$11:$AA$11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3"/>
          <c:order val="3"/>
          <c:tx>
            <c:v>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Results!$D$12:$AA$12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4"/>
          <c:order val="4"/>
          <c:tx>
            <c:v>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Results!$D$13:$AA$13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5"/>
          <c:order val="5"/>
          <c:tx>
            <c:v>6</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Results!$D$14:$AA$14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6"/>
          <c:order val="6"/>
          <c:tx>
            <c:v>7</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Results!$D$15:$AA$15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7"/>
          <c:order val="7"/>
          <c:tx>
            <c:v>8</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Results!$D$16:$AA$16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8"/>
          <c:order val="8"/>
          <c:tx>
            <c:v>9</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Results!$D$17:$AA$17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9"/>
          <c:order val="9"/>
          <c:tx>
            <c:v>10</c:v>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Results!$D$18:$AA$18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0"/>
          <c:order val="10"/>
          <c:tx>
            <c:v>11</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Results!$D$19:$AA$19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1"/>
          <c:order val="11"/>
          <c:tx>
            <c:v>12</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Results!$D$20:$AA$20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2"/>
          <c:order val="12"/>
          <c:tx>
            <c:v>13</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Results!$D$21:$AA$21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3"/>
          <c:order val="13"/>
          <c:tx>
            <c:v>14</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Results!$D$22:$AA$22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4"/>
          <c:order val="14"/>
          <c:tx>
            <c:v>15</c:v>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Results!$D$23:$AA$23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5"/>
          <c:order val="15"/>
          <c:tx>
            <c:v>16</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Results!$D$24:$AA$24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6"/>
          <c:order val="16"/>
          <c:tx>
            <c:v>17</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Results!$D$25:$AA$25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7"/>
          <c:order val="17"/>
          <c:tx>
            <c:v>18</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Results!$D$26:$AA$26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8"/>
          <c:order val="18"/>
          <c:tx>
            <c:v>19</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Results!$D$27:$AA$27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9"/>
          <c:order val="19"/>
          <c:tx>
            <c:v>20</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Results!$D$28:$AA$28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0"/>
          <c:order val="20"/>
          <c:tx>
            <c:v>21</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Results!$D$29:$AA$29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1"/>
          <c:order val="21"/>
          <c:tx>
            <c:v>22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Results!$D$30:$AA$30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2"/>
          <c:order val="22"/>
          <c:tx>
            <c:v>23</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Results!$D$31:$AA$31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3"/>
          <c:order val="23"/>
          <c:tx>
            <c:v>24</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Results!$D$32:$AA$32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54679533"/>
        <c:axId val="22353750"/>
      </c:scatterChart>
      <c:valAx>
        <c:axId val="54679533"/>
        <c:scaling>
          <c:orientation val="minMax"/>
          <c:max val="24"/>
          <c:min val="1"/>
        </c:scaling>
        <c:axPos val="b"/>
        <c:title>
          <c:tx>
            <c:rich>
              <a:bodyPr vert="horz" rot="0" anchor="ctr"/>
              <a:lstStyle/>
              <a:p>
                <a:pPr algn="ctr">
                  <a:defRPr/>
                </a:pPr>
                <a:r>
                  <a:rPr lang="en-US" cap="none" sz="850" b="1" i="0" u="none" baseline="0">
                    <a:latin typeface="Arial"/>
                    <a:ea typeface="Arial"/>
                    <a:cs typeface="Arial"/>
                  </a:rPr>
                  <a:t>Thermal Box Lifetime (years)</a:t>
                </a:r>
              </a:p>
            </c:rich>
          </c:tx>
          <c:layout>
            <c:manualLayout>
              <c:xMode val="factor"/>
              <c:yMode val="factor"/>
              <c:x val="-0.00575"/>
              <c:y val="0"/>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22353750"/>
        <c:crosses val="autoZero"/>
        <c:crossBetween val="midCat"/>
        <c:dispUnits/>
        <c:majorUnit val="1"/>
      </c:valAx>
      <c:valAx>
        <c:axId val="22353750"/>
        <c:scaling>
          <c:orientation val="minMax"/>
          <c:min val="0"/>
        </c:scaling>
        <c:axPos val="l"/>
        <c:title>
          <c:tx>
            <c:rich>
              <a:bodyPr vert="horz" rot="0" anchor="ctr"/>
              <a:lstStyle/>
              <a:p>
                <a:pPr algn="ctr">
                  <a:defRPr/>
                </a:pPr>
                <a:r>
                  <a:rPr lang="en-US" cap="none" sz="850" b="1" i="0" u="none" baseline="0">
                    <a:latin typeface="Arial"/>
                    <a:ea typeface="Arial"/>
                    <a:cs typeface="Arial"/>
                  </a:rPr>
                  <a:t>€ / years</a:t>
                </a:r>
              </a:p>
            </c:rich>
          </c:tx>
          <c:layout>
            <c:manualLayout>
              <c:xMode val="factor"/>
              <c:yMode val="factor"/>
              <c:x val="0.0085"/>
              <c:y val="0.146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4679533"/>
        <c:crosses val="autoZero"/>
        <c:crossBetween val="midCat"/>
        <c:dispUnits/>
        <c:majorUnit val="1000"/>
        <c:minorUnit val="500"/>
      </c:valAx>
      <c:spPr>
        <a:gradFill rotWithShape="1">
          <a:gsLst>
            <a:gs pos="0">
              <a:srgbClr val="CCFFFF"/>
            </a:gs>
            <a:gs pos="100000">
              <a:srgbClr val="9AC1C1"/>
            </a:gs>
          </a:gsLst>
          <a:path path="rect">
            <a:fillToRect r="100000" b="100000"/>
          </a:path>
        </a:gradFill>
        <a:ln w="12700">
          <a:solidFill>
            <a:srgbClr val="808080"/>
          </a:solidFill>
        </a:ln>
      </c:spPr>
    </c:plotArea>
    <c:legend>
      <c:legendPos val="r"/>
      <c:layout>
        <c:manualLayout>
          <c:xMode val="edge"/>
          <c:yMode val="edge"/>
          <c:x val="0.8965"/>
          <c:y val="0.06125"/>
          <c:w val="0.05025"/>
          <c:h val="0.85975"/>
        </c:manualLayout>
      </c:layout>
      <c:overlay val="0"/>
      <c:spPr>
        <a:gradFill rotWithShape="1">
          <a:gsLst>
            <a:gs pos="0">
              <a:srgbClr val="CCFFFF"/>
            </a:gs>
            <a:gs pos="100000">
              <a:srgbClr val="9AC1C1"/>
            </a:gs>
          </a:gsLst>
          <a:path path="rect">
            <a:fillToRect r="100000" b="100000"/>
          </a:path>
        </a:gradFill>
        <a:ln w="3175">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86A8A8"/>
        </a:gs>
      </a:gsLst>
      <a:path path="rect">
        <a:fillToRect r="100000" b="100000"/>
      </a:path>
    </a:gradFill>
  </c:spPr>
  <c:txPr>
    <a:bodyPr vert="horz" rot="0"/>
    <a:lstStyle/>
    <a:p>
      <a:pPr>
        <a:defRPr lang="en-US" cap="none" sz="17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25</xdr:col>
      <xdr:colOff>457200</xdr:colOff>
      <xdr:row>164</xdr:row>
      <xdr:rowOff>66675</xdr:rowOff>
    </xdr:to>
    <xdr:sp>
      <xdr:nvSpPr>
        <xdr:cNvPr id="1" name="Rectangle 8"/>
        <xdr:cNvSpPr>
          <a:spLocks/>
        </xdr:cNvSpPr>
      </xdr:nvSpPr>
      <xdr:spPr>
        <a:xfrm flipH="1">
          <a:off x="0" y="5676900"/>
          <a:ext cx="14811375" cy="211645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142875</xdr:colOff>
      <xdr:row>30</xdr:row>
      <xdr:rowOff>38100</xdr:rowOff>
    </xdr:from>
    <xdr:to>
      <xdr:col>13</xdr:col>
      <xdr:colOff>581025</xdr:colOff>
      <xdr:row>32</xdr:row>
      <xdr:rowOff>123825</xdr:rowOff>
    </xdr:to>
    <xdr:pic>
      <xdr:nvPicPr>
        <xdr:cNvPr id="2" name="Picture 18"/>
        <xdr:cNvPicPr preferRelativeResize="1">
          <a:picLocks noChangeAspect="1"/>
        </xdr:cNvPicPr>
      </xdr:nvPicPr>
      <xdr:blipFill>
        <a:blip r:embed="rId1"/>
        <a:stretch>
          <a:fillRect/>
        </a:stretch>
      </xdr:blipFill>
      <xdr:spPr>
        <a:xfrm>
          <a:off x="7038975" y="5038725"/>
          <a:ext cx="438150" cy="409575"/>
        </a:xfrm>
        <a:prstGeom prst="rect">
          <a:avLst/>
        </a:prstGeom>
        <a:noFill/>
        <a:ln w="9525" cmpd="sng">
          <a:noFill/>
        </a:ln>
      </xdr:spPr>
    </xdr:pic>
    <xdr:clientData/>
  </xdr:twoCellAnchor>
  <xdr:twoCellAnchor>
    <xdr:from>
      <xdr:col>3</xdr:col>
      <xdr:colOff>0</xdr:colOff>
      <xdr:row>2</xdr:row>
      <xdr:rowOff>0</xdr:rowOff>
    </xdr:from>
    <xdr:to>
      <xdr:col>15</xdr:col>
      <xdr:colOff>609600</xdr:colOff>
      <xdr:row>7</xdr:row>
      <xdr:rowOff>0</xdr:rowOff>
    </xdr:to>
    <xdr:sp>
      <xdr:nvSpPr>
        <xdr:cNvPr id="3" name="TextBox 31"/>
        <xdr:cNvSpPr txBox="1">
          <a:spLocks noChangeArrowheads="1"/>
        </xdr:cNvSpPr>
      </xdr:nvSpPr>
      <xdr:spPr>
        <a:xfrm>
          <a:off x="419100" y="333375"/>
          <a:ext cx="8410575" cy="8096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aims to show the impact of the K value of an insulated box as well as the fuel exploitation costs to compensate the evolution of this K value. The calculations are made for 24 years, assuming we have the same box and thermal engine compared with the acquisition of a new equipment (Insulated box and or Thermal engine) every N and or M years. 
The Aging Factor for the Thermal equipment it is only rlated to the heat power capacity, and do not take in account the aging of the diesel unit it self which was assumed to have the same efficiency during it's life time.
</a:t>
          </a:r>
          <a:r>
            <a:rPr lang="en-US" cap="none" sz="400" b="0" i="0" u="none" baseline="0">
              <a:latin typeface="Arial"/>
              <a:ea typeface="Arial"/>
              <a:cs typeface="Arial"/>
            </a:rPr>
            <a:t>   
                                                                 </a:t>
          </a:r>
          <a:r>
            <a:rPr lang="en-US" cap="none" sz="800" b="0" i="0" u="none" baseline="0">
              <a:latin typeface="Arial"/>
              <a:ea typeface="Arial"/>
              <a:cs typeface="Arial"/>
            </a:rPr>
            <a:t>                                               </a:t>
          </a:r>
          <a:r>
            <a:rPr lang="en-US" cap="none" sz="800" b="0" i="0" u="none" baseline="0">
              <a:solidFill>
                <a:srgbClr val="0000FF"/>
              </a:solidFill>
              <a:latin typeface="Arial"/>
              <a:ea typeface="Arial"/>
              <a:cs typeface="Arial"/>
            </a:rPr>
            <a:t>Version 06.08.23                                       This program is optimized for a 1024 x 768 display.</a:t>
          </a:r>
        </a:p>
      </xdr:txBody>
    </xdr:sp>
    <xdr:clientData/>
  </xdr:twoCellAnchor>
  <xdr:twoCellAnchor>
    <xdr:from>
      <xdr:col>17</xdr:col>
      <xdr:colOff>209550</xdr:colOff>
      <xdr:row>0</xdr:row>
      <xdr:rowOff>0</xdr:rowOff>
    </xdr:from>
    <xdr:to>
      <xdr:col>25</xdr:col>
      <xdr:colOff>447675</xdr:colOff>
      <xdr:row>35</xdr:row>
      <xdr:rowOff>28575</xdr:rowOff>
    </xdr:to>
    <xdr:sp>
      <xdr:nvSpPr>
        <xdr:cNvPr id="4" name="Rectangle 39"/>
        <xdr:cNvSpPr>
          <a:spLocks/>
        </xdr:cNvSpPr>
      </xdr:nvSpPr>
      <xdr:spPr>
        <a:xfrm>
          <a:off x="9658350" y="0"/>
          <a:ext cx="5143500" cy="58483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0.35375</cdr:y>
    </cdr:from>
    <cdr:to>
      <cdr:x>0.5095</cdr:x>
      <cdr:y>0.40175</cdr:y>
    </cdr:to>
    <cdr:sp>
      <cdr:nvSpPr>
        <cdr:cNvPr id="1" name="TextBox 1"/>
        <cdr:cNvSpPr txBox="1">
          <a:spLocks noChangeArrowheads="1"/>
        </cdr:cNvSpPr>
      </cdr:nvSpPr>
      <cdr:spPr>
        <a:xfrm>
          <a:off x="4619625" y="17145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0.002</cdr:y>
    </cdr:from>
    <cdr:to>
      <cdr:x>0.22475</cdr:x>
      <cdr:y>0.056</cdr:y>
    </cdr:to>
    <cdr:sp>
      <cdr:nvSpPr>
        <cdr:cNvPr id="2" name="TextBox 2"/>
        <cdr:cNvSpPr txBox="1">
          <a:spLocks noChangeArrowheads="1"/>
        </cdr:cNvSpPr>
      </cdr:nvSpPr>
      <cdr:spPr>
        <a:xfrm>
          <a:off x="695325" y="9525"/>
          <a:ext cx="13811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123825</xdr:colOff>
      <xdr:row>30</xdr:row>
      <xdr:rowOff>0</xdr:rowOff>
    </xdr:to>
    <xdr:graphicFrame>
      <xdr:nvGraphicFramePr>
        <xdr:cNvPr id="1" name="Chart 1"/>
        <xdr:cNvGraphicFramePr/>
      </xdr:nvGraphicFramePr>
      <xdr:xfrm>
        <a:off x="0" y="0"/>
        <a:ext cx="9267825" cy="4857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9525</xdr:rowOff>
    </xdr:to>
    <xdr:graphicFrame>
      <xdr:nvGraphicFramePr>
        <xdr:cNvPr id="1" name="Chart 1"/>
        <xdr:cNvGraphicFramePr/>
      </xdr:nvGraphicFramePr>
      <xdr:xfrm>
        <a:off x="0" y="0"/>
        <a:ext cx="9144000" cy="4867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38100</xdr:rowOff>
    </xdr:from>
    <xdr:to>
      <xdr:col>3</xdr:col>
      <xdr:colOff>190500</xdr:colOff>
      <xdr:row>1</xdr:row>
      <xdr:rowOff>133350</xdr:rowOff>
    </xdr:to>
    <xdr:sp>
      <xdr:nvSpPr>
        <xdr:cNvPr id="2" name="TextBox 8"/>
        <xdr:cNvSpPr txBox="1">
          <a:spLocks noChangeArrowheads="1"/>
        </xdr:cNvSpPr>
      </xdr:nvSpPr>
      <xdr:spPr>
        <a:xfrm>
          <a:off x="647700" y="381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0</xdr:rowOff>
    </xdr:to>
    <xdr:graphicFrame>
      <xdr:nvGraphicFramePr>
        <xdr:cNvPr id="1" name="Chart 1"/>
        <xdr:cNvGraphicFramePr/>
      </xdr:nvGraphicFramePr>
      <xdr:xfrm>
        <a:off x="0" y="0"/>
        <a:ext cx="9144000" cy="48577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0</xdr:row>
      <xdr:rowOff>47625</xdr:rowOff>
    </xdr:from>
    <xdr:to>
      <xdr:col>3</xdr:col>
      <xdr:colOff>123825</xdr:colOff>
      <xdr:row>1</xdr:row>
      <xdr:rowOff>142875</xdr:rowOff>
    </xdr:to>
    <xdr:sp>
      <xdr:nvSpPr>
        <xdr:cNvPr id="2" name="TextBox 8"/>
        <xdr:cNvSpPr txBox="1">
          <a:spLocks noChangeArrowheads="1"/>
        </xdr:cNvSpPr>
      </xdr:nvSpPr>
      <xdr:spPr>
        <a:xfrm>
          <a:off x="581025" y="4762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13</xdr:row>
      <xdr:rowOff>19050</xdr:rowOff>
    </xdr:from>
    <xdr:to>
      <xdr:col>10</xdr:col>
      <xdr:colOff>361950</xdr:colOff>
      <xdr:row>14</xdr:row>
      <xdr:rowOff>66675</xdr:rowOff>
    </xdr:to>
    <xdr:sp>
      <xdr:nvSpPr>
        <xdr:cNvPr id="1" name="TextBox 2"/>
        <xdr:cNvSpPr txBox="1">
          <a:spLocks noChangeArrowheads="1"/>
        </xdr:cNvSpPr>
      </xdr:nvSpPr>
      <xdr:spPr>
        <a:xfrm>
          <a:off x="1247775" y="2143125"/>
          <a:ext cx="478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red rows, means that the equipment can no longer keep the desired temperature.
</a:t>
          </a:r>
        </a:p>
      </xdr:txBody>
    </xdr:sp>
    <xdr:clientData/>
  </xdr:twoCellAnchor>
  <xdr:twoCellAnchor>
    <xdr:from>
      <xdr:col>13</xdr:col>
      <xdr:colOff>66675</xdr:colOff>
      <xdr:row>1</xdr:row>
      <xdr:rowOff>9525</xdr:rowOff>
    </xdr:from>
    <xdr:to>
      <xdr:col>15</xdr:col>
      <xdr:colOff>9525</xdr:colOff>
      <xdr:row>2</xdr:row>
      <xdr:rowOff>104775</xdr:rowOff>
    </xdr:to>
    <xdr:sp>
      <xdr:nvSpPr>
        <xdr:cNvPr id="2" name="TextBox 9"/>
        <xdr:cNvSpPr txBox="1">
          <a:spLocks noChangeArrowheads="1"/>
        </xdr:cNvSpPr>
      </xdr:nvSpPr>
      <xdr:spPr>
        <a:xfrm>
          <a:off x="7677150" y="18097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142875</xdr:colOff>
      <xdr:row>0</xdr:row>
      <xdr:rowOff>47625</xdr:rowOff>
    </xdr:to>
    <xdr:pic>
      <xdr:nvPicPr>
        <xdr:cNvPr id="1" name="Picture 1"/>
        <xdr:cNvPicPr preferRelativeResize="1">
          <a:picLocks noChangeAspect="1"/>
        </xdr:cNvPicPr>
      </xdr:nvPicPr>
      <xdr:blipFill>
        <a:blip r:embed="rId1"/>
        <a:stretch>
          <a:fillRect/>
        </a:stretch>
      </xdr:blipFill>
      <xdr:spPr>
        <a:xfrm>
          <a:off x="1219200" y="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2" name="Picture 2"/>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3" name="Picture 3"/>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4" name="Picture 4"/>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5" name="Picture 5"/>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6" name="Picture 6"/>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7" name="Picture 12"/>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8" name="Picture 13"/>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9" name="Picture 14"/>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10" name="Picture 15"/>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2</xdr:row>
      <xdr:rowOff>9525</xdr:rowOff>
    </xdr:from>
    <xdr:to>
      <xdr:col>13</xdr:col>
      <xdr:colOff>142875</xdr:colOff>
      <xdr:row>2</xdr:row>
      <xdr:rowOff>57150</xdr:rowOff>
    </xdr:to>
    <xdr:pic>
      <xdr:nvPicPr>
        <xdr:cNvPr id="11" name="Picture 16"/>
        <xdr:cNvPicPr preferRelativeResize="1">
          <a:picLocks noChangeAspect="1"/>
        </xdr:cNvPicPr>
      </xdr:nvPicPr>
      <xdr:blipFill>
        <a:blip r:embed="rId1"/>
        <a:stretch>
          <a:fillRect/>
        </a:stretch>
      </xdr:blipFill>
      <xdr:spPr>
        <a:xfrm>
          <a:off x="7972425" y="304800"/>
          <a:ext cx="142875" cy="47625"/>
        </a:xfrm>
        <a:prstGeom prst="rect">
          <a:avLst/>
        </a:prstGeom>
        <a:noFill/>
        <a:ln w="9525" cmpd="sng">
          <a:noFill/>
        </a:ln>
      </xdr:spPr>
    </xdr:pic>
    <xdr:clientData/>
  </xdr:twoCellAnchor>
  <xdr:twoCellAnchor editAs="oneCell">
    <xdr:from>
      <xdr:col>13</xdr:col>
      <xdr:colOff>314325</xdr:colOff>
      <xdr:row>1</xdr:row>
      <xdr:rowOff>76200</xdr:rowOff>
    </xdr:from>
    <xdr:to>
      <xdr:col>13</xdr:col>
      <xdr:colOff>457200</xdr:colOff>
      <xdr:row>1</xdr:row>
      <xdr:rowOff>123825</xdr:rowOff>
    </xdr:to>
    <xdr:pic>
      <xdr:nvPicPr>
        <xdr:cNvPr id="12" name="Picture 17"/>
        <xdr:cNvPicPr preferRelativeResize="1">
          <a:picLocks noChangeAspect="1"/>
        </xdr:cNvPicPr>
      </xdr:nvPicPr>
      <xdr:blipFill>
        <a:blip r:embed="rId1"/>
        <a:stretch>
          <a:fillRect/>
        </a:stretch>
      </xdr:blipFill>
      <xdr:spPr>
        <a:xfrm>
          <a:off x="8286750" y="247650"/>
          <a:ext cx="142875" cy="47625"/>
        </a:xfrm>
        <a:prstGeom prst="rect">
          <a:avLst/>
        </a:prstGeom>
        <a:noFill/>
        <a:ln w="9525" cmpd="sng">
          <a:noFill/>
        </a:ln>
      </xdr:spPr>
    </xdr:pic>
    <xdr:clientData/>
  </xdr:twoCellAnchor>
  <xdr:twoCellAnchor>
    <xdr:from>
      <xdr:col>2</xdr:col>
      <xdr:colOff>19050</xdr:colOff>
      <xdr:row>16</xdr:row>
      <xdr:rowOff>9525</xdr:rowOff>
    </xdr:from>
    <xdr:to>
      <xdr:col>13</xdr:col>
      <xdr:colOff>561975</xdr:colOff>
      <xdr:row>36</xdr:row>
      <xdr:rowOff>0</xdr:rowOff>
    </xdr:to>
    <xdr:graphicFrame>
      <xdr:nvGraphicFramePr>
        <xdr:cNvPr id="13" name="Chart 18"/>
        <xdr:cNvGraphicFramePr/>
      </xdr:nvGraphicFramePr>
      <xdr:xfrm>
        <a:off x="1238250" y="2038350"/>
        <a:ext cx="7296150" cy="32289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16</xdr:row>
      <xdr:rowOff>28575</xdr:rowOff>
    </xdr:from>
    <xdr:to>
      <xdr:col>4</xdr:col>
      <xdr:colOff>333375</xdr:colOff>
      <xdr:row>17</xdr:row>
      <xdr:rowOff>123825</xdr:rowOff>
    </xdr:to>
    <xdr:sp>
      <xdr:nvSpPr>
        <xdr:cNvPr id="14" name="TextBox 25"/>
        <xdr:cNvSpPr txBox="1">
          <a:spLocks noChangeArrowheads="1"/>
        </xdr:cNvSpPr>
      </xdr:nvSpPr>
      <xdr:spPr>
        <a:xfrm>
          <a:off x="1704975" y="20574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twoCellAnchor>
    <xdr:from>
      <xdr:col>13</xdr:col>
      <xdr:colOff>276225</xdr:colOff>
      <xdr:row>5</xdr:row>
      <xdr:rowOff>57150</xdr:rowOff>
    </xdr:from>
    <xdr:to>
      <xdr:col>13</xdr:col>
      <xdr:colOff>276225</xdr:colOff>
      <xdr:row>13</xdr:row>
      <xdr:rowOff>57150</xdr:rowOff>
    </xdr:to>
    <xdr:sp>
      <xdr:nvSpPr>
        <xdr:cNvPr id="15" name="Line 33"/>
        <xdr:cNvSpPr>
          <a:spLocks/>
        </xdr:cNvSpPr>
      </xdr:nvSpPr>
      <xdr:spPr>
        <a:xfrm>
          <a:off x="8248650" y="723900"/>
          <a:ext cx="0" cy="990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cdr:y>
    </cdr:from>
    <cdr:to>
      <cdr:x>0.2125</cdr:x>
      <cdr:y>0.05325</cdr:y>
    </cdr:to>
    <cdr:sp>
      <cdr:nvSpPr>
        <cdr:cNvPr id="1" name="TextBox 1"/>
        <cdr:cNvSpPr txBox="1">
          <a:spLocks noChangeArrowheads="1"/>
        </cdr:cNvSpPr>
      </cdr:nvSpPr>
      <cdr:spPr>
        <a:xfrm>
          <a:off x="676275" y="0"/>
          <a:ext cx="1390650" cy="25717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48</xdr:col>
      <xdr:colOff>0</xdr:colOff>
      <xdr:row>32</xdr:row>
      <xdr:rowOff>28575</xdr:rowOff>
    </xdr:to>
    <xdr:graphicFrame>
      <xdr:nvGraphicFramePr>
        <xdr:cNvPr id="1" name="Chart 6"/>
        <xdr:cNvGraphicFramePr/>
      </xdr:nvGraphicFramePr>
      <xdr:xfrm>
        <a:off x="12344400" y="0"/>
        <a:ext cx="9753600" cy="4905375"/>
      </xdr:xfrm>
      <a:graphic>
        <a:graphicData uri="http://schemas.openxmlformats.org/drawingml/2006/chart">
          <c:chart xmlns:c="http://schemas.openxmlformats.org/drawingml/2006/chart" r:id="rId1"/>
        </a:graphicData>
      </a:graphic>
    </xdr:graphicFrame>
    <xdr:clientData/>
  </xdr:twoCellAnchor>
  <xdr:twoCellAnchor>
    <xdr:from>
      <xdr:col>63</xdr:col>
      <xdr:colOff>304800</xdr:colOff>
      <xdr:row>0</xdr:row>
      <xdr:rowOff>142875</xdr:rowOff>
    </xdr:from>
    <xdr:to>
      <xdr:col>64</xdr:col>
      <xdr:colOff>590550</xdr:colOff>
      <xdr:row>3</xdr:row>
      <xdr:rowOff>47625</xdr:rowOff>
    </xdr:to>
    <xdr:sp>
      <xdr:nvSpPr>
        <xdr:cNvPr id="2" name="TextBox 7"/>
        <xdr:cNvSpPr txBox="1">
          <a:spLocks noChangeArrowheads="1"/>
        </xdr:cNvSpPr>
      </xdr:nvSpPr>
      <xdr:spPr>
        <a:xfrm>
          <a:off x="31546800" y="142875"/>
          <a:ext cx="895350" cy="36195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Thermal Engine Lifetime (years)</a:t>
          </a:r>
        </a:p>
      </xdr:txBody>
    </xdr:sp>
    <xdr:clientData/>
  </xdr:twoCellAnchor>
  <xdr:twoCellAnchor>
    <xdr:from>
      <xdr:col>45</xdr:col>
      <xdr:colOff>523875</xdr:colOff>
      <xdr:row>0</xdr:row>
      <xdr:rowOff>0</xdr:rowOff>
    </xdr:from>
    <xdr:to>
      <xdr:col>47</xdr:col>
      <xdr:colOff>133350</xdr:colOff>
      <xdr:row>2</xdr:row>
      <xdr:rowOff>28575</xdr:rowOff>
    </xdr:to>
    <xdr:sp>
      <xdr:nvSpPr>
        <xdr:cNvPr id="3" name="TextBox 8"/>
        <xdr:cNvSpPr txBox="1">
          <a:spLocks noChangeArrowheads="1"/>
        </xdr:cNvSpPr>
      </xdr:nvSpPr>
      <xdr:spPr>
        <a:xfrm>
          <a:off x="20793075" y="0"/>
          <a:ext cx="828675" cy="333375"/>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Engine Life Time (years)</a:t>
          </a:r>
        </a:p>
      </xdr:txBody>
    </xdr:sp>
    <xdr:clientData/>
  </xdr:twoCellAnchor>
  <xdr:twoCellAnchor>
    <xdr:from>
      <xdr:col>27</xdr:col>
      <xdr:colOff>9525</xdr:colOff>
      <xdr:row>0</xdr:row>
      <xdr:rowOff>9525</xdr:rowOff>
    </xdr:from>
    <xdr:to>
      <xdr:col>32</xdr:col>
      <xdr:colOff>0</xdr:colOff>
      <xdr:row>71</xdr:row>
      <xdr:rowOff>19050</xdr:rowOff>
    </xdr:to>
    <xdr:sp>
      <xdr:nvSpPr>
        <xdr:cNvPr id="4" name="Rectangle 9"/>
        <xdr:cNvSpPr>
          <a:spLocks/>
        </xdr:cNvSpPr>
      </xdr:nvSpPr>
      <xdr:spPr>
        <a:xfrm>
          <a:off x="9305925" y="9525"/>
          <a:ext cx="3038475" cy="959167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nobre@isq.p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Y169"/>
  <sheetViews>
    <sheetView tabSelected="1" workbookViewId="0" topLeftCell="A1">
      <selection activeCell="F28" sqref="F28"/>
    </sheetView>
  </sheetViews>
  <sheetFormatPr defaultColWidth="9.140625" defaultRowHeight="12.75"/>
  <cols>
    <col min="1" max="1" width="2.00390625" style="31" customWidth="1"/>
    <col min="2" max="2" width="2.28125" style="31" customWidth="1"/>
    <col min="3" max="3" width="2.00390625" style="31" customWidth="1"/>
    <col min="4" max="4" width="9.421875" style="31" customWidth="1"/>
    <col min="5" max="5" width="8.8515625" style="43" customWidth="1"/>
    <col min="6" max="6" width="9.8515625" style="31" customWidth="1"/>
    <col min="7" max="7" width="9.8515625" style="30" customWidth="1"/>
    <col min="8" max="8" width="9.8515625" style="33" customWidth="1"/>
    <col min="9" max="12" width="9.8515625" style="30" customWidth="1"/>
    <col min="13" max="13" width="9.8515625" style="44" customWidth="1"/>
    <col min="14" max="14" width="9.8515625" style="31" customWidth="1"/>
    <col min="15" max="15" width="10.00390625" style="31" customWidth="1"/>
    <col min="16" max="16" width="9.28125" style="30" customWidth="1"/>
    <col min="17" max="17" width="9.140625" style="30" customWidth="1"/>
    <col min="18" max="18" width="9.421875" style="30" customWidth="1"/>
    <col min="19" max="19" width="9.421875" style="31" customWidth="1"/>
    <col min="20" max="20" width="7.7109375" style="30" customWidth="1"/>
    <col min="21" max="21" width="9.140625" style="31" customWidth="1"/>
    <col min="22" max="22" width="10.421875" style="31" customWidth="1"/>
    <col min="23" max="25" width="9.140625" style="30" customWidth="1"/>
    <col min="26" max="16384" width="9.140625" style="31" customWidth="1"/>
  </cols>
  <sheetData>
    <row r="1" spans="4:25" s="20" customFormat="1" ht="18.75">
      <c r="D1" s="293" t="s">
        <v>127</v>
      </c>
      <c r="E1" s="293"/>
      <c r="F1" s="293"/>
      <c r="G1" s="293"/>
      <c r="H1" s="293"/>
      <c r="I1" s="293"/>
      <c r="J1" s="293"/>
      <c r="K1" s="293"/>
      <c r="L1" s="293"/>
      <c r="M1" s="293"/>
      <c r="N1" s="293"/>
      <c r="O1" s="293"/>
      <c r="P1" s="293"/>
      <c r="Q1" s="21"/>
      <c r="R1" s="21"/>
      <c r="T1" s="21"/>
      <c r="W1" s="21"/>
      <c r="X1" s="21"/>
      <c r="Y1" s="21"/>
    </row>
    <row r="2" spans="5:25" s="20" customFormat="1" ht="7.5" customHeight="1">
      <c r="E2" s="22"/>
      <c r="H2" s="23"/>
      <c r="I2" s="21"/>
      <c r="J2" s="21"/>
      <c r="K2" s="21"/>
      <c r="L2" s="21"/>
      <c r="M2" s="24"/>
      <c r="P2" s="21"/>
      <c r="Q2" s="21"/>
      <c r="R2" s="21"/>
      <c r="T2" s="21"/>
      <c r="W2" s="21"/>
      <c r="X2" s="21"/>
      <c r="Y2" s="21"/>
    </row>
    <row r="3" spans="4:25" s="20" customFormat="1" ht="12.75" customHeight="1">
      <c r="D3" s="25"/>
      <c r="E3" s="25"/>
      <c r="F3" s="25"/>
      <c r="G3" s="25"/>
      <c r="H3" s="25"/>
      <c r="I3" s="25"/>
      <c r="J3" s="25"/>
      <c r="K3" s="25"/>
      <c r="L3" s="25"/>
      <c r="M3" s="25"/>
      <c r="N3" s="25"/>
      <c r="O3" s="25"/>
      <c r="P3" s="25"/>
      <c r="Q3" s="21"/>
      <c r="R3" s="21"/>
      <c r="T3" s="21"/>
      <c r="W3" s="21"/>
      <c r="X3" s="21"/>
      <c r="Y3" s="21"/>
    </row>
    <row r="4" spans="4:25" s="20" customFormat="1" ht="12.75" customHeight="1">
      <c r="D4" s="25"/>
      <c r="E4" s="25"/>
      <c r="F4" s="25"/>
      <c r="G4" s="25"/>
      <c r="H4" s="25"/>
      <c r="I4" s="25"/>
      <c r="J4" s="25"/>
      <c r="K4" s="25"/>
      <c r="L4" s="25"/>
      <c r="M4" s="25"/>
      <c r="N4" s="25"/>
      <c r="O4" s="25"/>
      <c r="P4" s="25"/>
      <c r="Q4" s="21"/>
      <c r="R4" s="229"/>
      <c r="S4" s="230"/>
      <c r="T4" s="229"/>
      <c r="U4" s="230"/>
      <c r="V4" s="230"/>
      <c r="W4" s="21"/>
      <c r="X4" s="21"/>
      <c r="Y4" s="21"/>
    </row>
    <row r="5" spans="4:25" s="20" customFormat="1" ht="12.75" customHeight="1">
      <c r="D5" s="25"/>
      <c r="E5" s="25"/>
      <c r="F5" s="25"/>
      <c r="G5" s="25"/>
      <c r="H5" s="25"/>
      <c r="I5" s="25"/>
      <c r="J5" s="25"/>
      <c r="K5" s="25"/>
      <c r="L5" s="25"/>
      <c r="M5" s="25"/>
      <c r="N5" s="25"/>
      <c r="O5" s="25"/>
      <c r="P5" s="25"/>
      <c r="Q5" s="21"/>
      <c r="R5" s="229"/>
      <c r="S5" s="230"/>
      <c r="T5" s="229"/>
      <c r="U5" s="230"/>
      <c r="V5" s="230"/>
      <c r="W5" s="21"/>
      <c r="X5" s="21"/>
      <c r="Y5" s="21"/>
    </row>
    <row r="6" spans="4:25" s="20" customFormat="1" ht="12.75" customHeight="1">
      <c r="D6" s="25"/>
      <c r="E6" s="25"/>
      <c r="F6" s="25"/>
      <c r="G6" s="25"/>
      <c r="H6" s="25"/>
      <c r="I6" s="25"/>
      <c r="J6" s="25"/>
      <c r="K6" s="25"/>
      <c r="L6" s="25"/>
      <c r="M6" s="25"/>
      <c r="N6" s="25"/>
      <c r="O6" s="25"/>
      <c r="P6" s="25"/>
      <c r="Q6" s="21"/>
      <c r="R6" s="229"/>
      <c r="S6" s="230"/>
      <c r="T6" s="229"/>
      <c r="U6" s="230"/>
      <c r="V6" s="230"/>
      <c r="W6" s="21"/>
      <c r="X6" s="21"/>
      <c r="Y6" s="21"/>
    </row>
    <row r="7" spans="4:25" s="20" customFormat="1" ht="12.75" customHeight="1">
      <c r="D7" s="25"/>
      <c r="E7" s="25"/>
      <c r="F7" s="25"/>
      <c r="G7" s="25"/>
      <c r="H7" s="25"/>
      <c r="I7" s="25"/>
      <c r="J7" s="25"/>
      <c r="K7" s="25"/>
      <c r="L7" s="25"/>
      <c r="M7" s="25"/>
      <c r="N7" s="25"/>
      <c r="O7" s="25"/>
      <c r="P7" s="25"/>
      <c r="Q7" s="21"/>
      <c r="R7" s="229"/>
      <c r="S7" s="230"/>
      <c r="T7" s="229"/>
      <c r="U7" s="230"/>
      <c r="V7" s="230"/>
      <c r="W7" s="21"/>
      <c r="X7" s="21"/>
      <c r="Y7" s="21"/>
    </row>
    <row r="8" spans="3:22" ht="7.5" customHeight="1">
      <c r="C8" s="26"/>
      <c r="D8" s="26"/>
      <c r="E8" s="26"/>
      <c r="F8" s="26"/>
      <c r="G8" s="26"/>
      <c r="H8" s="27"/>
      <c r="I8" s="28"/>
      <c r="J8" s="28"/>
      <c r="K8" s="26"/>
      <c r="L8" s="26"/>
      <c r="M8" s="26"/>
      <c r="N8" s="26"/>
      <c r="O8" s="26"/>
      <c r="P8" s="28"/>
      <c r="Q8" s="29"/>
      <c r="R8" s="69"/>
      <c r="S8" s="231"/>
      <c r="T8" s="69"/>
      <c r="U8" s="231"/>
      <c r="V8" s="231"/>
    </row>
    <row r="9" spans="3:22" ht="15.75">
      <c r="C9" s="32"/>
      <c r="D9" s="294" t="s">
        <v>23</v>
      </c>
      <c r="E9" s="295"/>
      <c r="F9" s="295"/>
      <c r="G9" s="296"/>
      <c r="I9" s="297" t="s">
        <v>24</v>
      </c>
      <c r="J9" s="298"/>
      <c r="K9" s="298"/>
      <c r="L9" s="298"/>
      <c r="M9" s="298"/>
      <c r="N9" s="298"/>
      <c r="O9" s="298"/>
      <c r="P9" s="299"/>
      <c r="Q9" s="29"/>
      <c r="R9" s="69"/>
      <c r="S9" s="232">
        <f>IF(F17&gt;30,K10*30/F17,K10)</f>
        <v>12000</v>
      </c>
      <c r="T9" s="233">
        <f>IF(F17&gt;30,K10*30/F17,K10)</f>
        <v>12000</v>
      </c>
      <c r="U9" s="231"/>
      <c r="V9" s="231"/>
    </row>
    <row r="10" spans="3:22" ht="12.75">
      <c r="C10" s="32"/>
      <c r="D10" s="98" t="s">
        <v>167</v>
      </c>
      <c r="E10" s="99"/>
      <c r="F10" s="281">
        <v>12</v>
      </c>
      <c r="G10" s="246" t="s">
        <v>141</v>
      </c>
      <c r="I10" s="107" t="s">
        <v>25</v>
      </c>
      <c r="J10" s="108"/>
      <c r="K10" s="109">
        <v>12000</v>
      </c>
      <c r="L10" s="110" t="s">
        <v>49</v>
      </c>
      <c r="M10" s="109">
        <v>10000</v>
      </c>
      <c r="N10" s="110" t="s">
        <v>50</v>
      </c>
      <c r="O10" s="109">
        <v>7500</v>
      </c>
      <c r="P10" s="111" t="s">
        <v>26</v>
      </c>
      <c r="Q10" s="29"/>
      <c r="R10" s="69"/>
      <c r="S10" s="232">
        <f>+(3*K10-4*M10+O10)/20</f>
        <v>175</v>
      </c>
      <c r="T10" s="69"/>
      <c r="U10" s="231"/>
      <c r="V10" s="231"/>
    </row>
    <row r="11" spans="3:22" ht="14.25">
      <c r="C11" s="32"/>
      <c r="D11" s="98" t="s">
        <v>21</v>
      </c>
      <c r="E11" s="99"/>
      <c r="F11" s="100">
        <v>145</v>
      </c>
      <c r="G11" s="101" t="s">
        <v>46</v>
      </c>
      <c r="I11" s="107" t="s">
        <v>128</v>
      </c>
      <c r="J11" s="108"/>
      <c r="K11" s="112">
        <v>6</v>
      </c>
      <c r="L11" s="110" t="s">
        <v>29</v>
      </c>
      <c r="M11" s="113"/>
      <c r="N11" s="110" t="s">
        <v>27</v>
      </c>
      <c r="O11" s="114">
        <v>1</v>
      </c>
      <c r="P11" s="111" t="s">
        <v>30</v>
      </c>
      <c r="Q11" s="29"/>
      <c r="R11" s="69"/>
      <c r="S11" s="232">
        <f>(K10-2*M10+O10)/200</f>
        <v>-2.5</v>
      </c>
      <c r="T11" s="69"/>
      <c r="U11" s="231"/>
      <c r="V11" s="231"/>
    </row>
    <row r="12" spans="3:22" ht="15.75">
      <c r="C12" s="32"/>
      <c r="D12" s="98" t="s">
        <v>129</v>
      </c>
      <c r="E12" s="99"/>
      <c r="F12" s="102">
        <v>0.38</v>
      </c>
      <c r="G12" s="101" t="s">
        <v>47</v>
      </c>
      <c r="I12" s="107" t="s">
        <v>56</v>
      </c>
      <c r="J12" s="108"/>
      <c r="K12" s="115">
        <v>2.68</v>
      </c>
      <c r="L12" s="110" t="s">
        <v>28</v>
      </c>
      <c r="M12" s="113"/>
      <c r="N12" s="116" t="s">
        <v>70</v>
      </c>
      <c r="O12" s="117">
        <v>5</v>
      </c>
      <c r="P12" s="118" t="s">
        <v>22</v>
      </c>
      <c r="Q12" s="29"/>
      <c r="R12" s="36">
        <f>+O12/100</f>
        <v>0.05</v>
      </c>
      <c r="S12" s="231"/>
      <c r="T12" s="69"/>
      <c r="U12" s="231"/>
      <c r="V12" s="231"/>
    </row>
    <row r="13" spans="3:22" ht="12.75">
      <c r="C13" s="32"/>
      <c r="D13" s="103" t="s">
        <v>5</v>
      </c>
      <c r="E13" s="104"/>
      <c r="F13" s="105">
        <v>7.5</v>
      </c>
      <c r="G13" s="106" t="s">
        <v>22</v>
      </c>
      <c r="I13" s="119" t="s">
        <v>5</v>
      </c>
      <c r="J13" s="120"/>
      <c r="K13" s="121">
        <v>1</v>
      </c>
      <c r="L13" s="122" t="s">
        <v>22</v>
      </c>
      <c r="M13" s="123"/>
      <c r="N13" s="124"/>
      <c r="O13" s="124"/>
      <c r="P13" s="125"/>
      <c r="Q13" s="29"/>
      <c r="R13" s="36"/>
      <c r="S13" s="231"/>
      <c r="T13" s="69"/>
      <c r="U13" s="231"/>
      <c r="V13" s="231"/>
    </row>
    <row r="14" spans="3:22" ht="7.5" customHeight="1">
      <c r="C14" s="32"/>
      <c r="E14" s="31"/>
      <c r="G14" s="31"/>
      <c r="I14" s="31"/>
      <c r="J14" s="31"/>
      <c r="K14" s="31"/>
      <c r="L14" s="31"/>
      <c r="M14" s="31"/>
      <c r="P14" s="31"/>
      <c r="Q14" s="29"/>
      <c r="R14" s="69"/>
      <c r="S14" s="231"/>
      <c r="T14" s="69"/>
      <c r="U14" s="231"/>
      <c r="V14" s="231"/>
    </row>
    <row r="15" spans="3:22" ht="15.75" customHeight="1">
      <c r="C15" s="32"/>
      <c r="D15" s="228" t="s">
        <v>31</v>
      </c>
      <c r="E15" s="126"/>
      <c r="F15" s="127"/>
      <c r="G15" s="128"/>
      <c r="H15" s="129"/>
      <c r="I15" s="128"/>
      <c r="J15" s="128"/>
      <c r="K15" s="128"/>
      <c r="L15" s="130"/>
      <c r="M15" s="37"/>
      <c r="N15" s="303" t="s">
        <v>133</v>
      </c>
      <c r="O15" s="304"/>
      <c r="P15" s="305"/>
      <c r="Q15" s="29"/>
      <c r="R15" s="69"/>
      <c r="S15" s="231"/>
      <c r="T15" s="69"/>
      <c r="U15" s="231"/>
      <c r="V15" s="231"/>
    </row>
    <row r="16" spans="3:22" ht="18" customHeight="1">
      <c r="C16" s="32"/>
      <c r="D16" s="131" t="s">
        <v>32</v>
      </c>
      <c r="E16" s="132"/>
      <c r="F16" s="133">
        <v>330</v>
      </c>
      <c r="G16" s="134" t="s">
        <v>33</v>
      </c>
      <c r="H16" s="135"/>
      <c r="I16" s="136"/>
      <c r="J16" s="136"/>
      <c r="K16" s="136"/>
      <c r="L16" s="137"/>
      <c r="M16" s="37"/>
      <c r="N16" s="306"/>
      <c r="O16" s="307"/>
      <c r="P16" s="308"/>
      <c r="Q16" s="29"/>
      <c r="R16" s="69"/>
      <c r="S16" s="231"/>
      <c r="T16" s="69"/>
      <c r="U16" s="231"/>
      <c r="V16" s="231"/>
    </row>
    <row r="17" spans="3:17" ht="12.75" customHeight="1">
      <c r="C17" s="32"/>
      <c r="D17" s="138" t="s">
        <v>130</v>
      </c>
      <c r="E17" s="139"/>
      <c r="F17" s="140">
        <v>20</v>
      </c>
      <c r="G17" s="141" t="s">
        <v>34</v>
      </c>
      <c r="H17" s="142"/>
      <c r="I17" s="141" t="s">
        <v>35</v>
      </c>
      <c r="J17" s="143"/>
      <c r="K17" s="140">
        <v>-25</v>
      </c>
      <c r="L17" s="144" t="s">
        <v>34</v>
      </c>
      <c r="M17" s="37"/>
      <c r="N17" s="309" t="s">
        <v>154</v>
      </c>
      <c r="O17" s="310"/>
      <c r="P17" s="311"/>
      <c r="Q17" s="29"/>
    </row>
    <row r="18" spans="3:17" ht="6" customHeight="1">
      <c r="C18" s="32"/>
      <c r="D18" s="175"/>
      <c r="E18" s="176"/>
      <c r="F18" s="177"/>
      <c r="G18" s="178"/>
      <c r="H18" s="179"/>
      <c r="I18" s="178"/>
      <c r="J18" s="180"/>
      <c r="K18" s="177"/>
      <c r="L18" s="178"/>
      <c r="M18" s="37"/>
      <c r="N18" s="309"/>
      <c r="O18" s="310"/>
      <c r="P18" s="311"/>
      <c r="Q18" s="29"/>
    </row>
    <row r="19" spans="3:17" ht="15.75" customHeight="1">
      <c r="C19" s="32"/>
      <c r="D19" s="234" t="s">
        <v>144</v>
      </c>
      <c r="E19" s="235"/>
      <c r="F19" s="235"/>
      <c r="G19" s="235"/>
      <c r="H19" s="235"/>
      <c r="I19" s="236"/>
      <c r="J19" s="237"/>
      <c r="K19" s="239">
        <v>2.3</v>
      </c>
      <c r="L19" s="238" t="s">
        <v>22</v>
      </c>
      <c r="M19" s="37"/>
      <c r="N19" s="242" t="s">
        <v>155</v>
      </c>
      <c r="O19" s="282">
        <v>8</v>
      </c>
      <c r="P19" s="243" t="s">
        <v>156</v>
      </c>
      <c r="Q19" s="29"/>
    </row>
    <row r="20" spans="3:17" ht="15.75">
      <c r="C20" s="32"/>
      <c r="D20" s="145" t="s">
        <v>132</v>
      </c>
      <c r="E20" s="132"/>
      <c r="F20" s="146"/>
      <c r="G20" s="136"/>
      <c r="H20" s="135"/>
      <c r="I20" s="136"/>
      <c r="J20" s="136"/>
      <c r="K20" s="136"/>
      <c r="L20" s="137"/>
      <c r="M20" s="37"/>
      <c r="N20" s="300" t="s">
        <v>162</v>
      </c>
      <c r="O20" s="301"/>
      <c r="P20" s="302"/>
      <c r="Q20" s="29"/>
    </row>
    <row r="21" spans="3:17" ht="12.75">
      <c r="C21" s="32"/>
      <c r="D21" s="147" t="s">
        <v>59</v>
      </c>
      <c r="E21" s="181"/>
      <c r="F21" s="152">
        <v>25000</v>
      </c>
      <c r="G21" s="148" t="s">
        <v>60</v>
      </c>
      <c r="H21" s="149" t="s">
        <v>61</v>
      </c>
      <c r="I21" s="136"/>
      <c r="J21" s="181"/>
      <c r="K21" s="152">
        <v>7500</v>
      </c>
      <c r="L21" s="150" t="s">
        <v>60</v>
      </c>
      <c r="M21" s="37"/>
      <c r="N21" s="242" t="s">
        <v>155</v>
      </c>
      <c r="O21" s="282">
        <v>12</v>
      </c>
      <c r="P21" s="244" t="s">
        <v>141</v>
      </c>
      <c r="Q21" s="29"/>
    </row>
    <row r="22" spans="3:17" ht="12.75">
      <c r="C22" s="32"/>
      <c r="D22" s="147" t="s">
        <v>66</v>
      </c>
      <c r="E22" s="151"/>
      <c r="F22" s="152">
        <v>8</v>
      </c>
      <c r="G22" s="148" t="s">
        <v>67</v>
      </c>
      <c r="H22" s="149" t="s">
        <v>68</v>
      </c>
      <c r="I22" s="136"/>
      <c r="J22" s="181"/>
      <c r="K22" s="152">
        <v>0</v>
      </c>
      <c r="L22" s="150" t="s">
        <v>60</v>
      </c>
      <c r="M22" s="37"/>
      <c r="N22" s="162"/>
      <c r="O22" s="240"/>
      <c r="P22" s="163"/>
      <c r="Q22" s="29"/>
    </row>
    <row r="23" spans="3:17" ht="12.75">
      <c r="C23" s="32"/>
      <c r="D23" s="147" t="s">
        <v>90</v>
      </c>
      <c r="E23" s="132"/>
      <c r="F23" s="133">
        <v>6</v>
      </c>
      <c r="G23" s="148" t="s">
        <v>67</v>
      </c>
      <c r="H23" s="149" t="s">
        <v>62</v>
      </c>
      <c r="I23" s="136"/>
      <c r="J23" s="136"/>
      <c r="K23" s="153">
        <v>4</v>
      </c>
      <c r="L23" s="150" t="s">
        <v>3</v>
      </c>
      <c r="M23" s="37"/>
      <c r="N23" s="164" t="s">
        <v>95</v>
      </c>
      <c r="O23" s="165">
        <f>-V116/F10</f>
        <v>19765.58522460403</v>
      </c>
      <c r="P23" s="166" t="s">
        <v>111</v>
      </c>
      <c r="Q23" s="29"/>
    </row>
    <row r="24" spans="3:17" ht="14.25">
      <c r="C24" s="32"/>
      <c r="D24" s="147" t="s">
        <v>152</v>
      </c>
      <c r="E24" s="132"/>
      <c r="F24" s="154">
        <f>IF(F23&lt;&gt;0,PMT(K23/100,F23*12,F21-K21),0)</f>
        <v>-744.1856082161153</v>
      </c>
      <c r="G24" s="148" t="s">
        <v>63</v>
      </c>
      <c r="H24" s="155">
        <f>+F24*12</f>
        <v>-8930.227298593383</v>
      </c>
      <c r="I24" s="148" t="s">
        <v>64</v>
      </c>
      <c r="J24" s="317">
        <f>+H24*F23</f>
        <v>-53581.3637915603</v>
      </c>
      <c r="K24" s="317"/>
      <c r="L24" s="150" t="s">
        <v>65</v>
      </c>
      <c r="M24" s="37"/>
      <c r="N24" s="164" t="s">
        <v>96</v>
      </c>
      <c r="O24" s="165">
        <f>-S116/F10</f>
        <v>-29147.427415680042</v>
      </c>
      <c r="P24" s="166" t="s">
        <v>112</v>
      </c>
      <c r="Q24" s="29"/>
    </row>
    <row r="25" spans="3:17" ht="15.75">
      <c r="C25" s="32"/>
      <c r="D25" s="145" t="s">
        <v>107</v>
      </c>
      <c r="E25" s="132"/>
      <c r="F25" s="155"/>
      <c r="G25" s="148"/>
      <c r="H25" s="155"/>
      <c r="I25" s="148"/>
      <c r="J25" s="156"/>
      <c r="K25" s="156"/>
      <c r="L25" s="150"/>
      <c r="M25" s="37"/>
      <c r="N25" s="164" t="s">
        <v>131</v>
      </c>
      <c r="O25" s="165">
        <f>+O23/K12</f>
        <v>7375.218367389563</v>
      </c>
      <c r="P25" s="167" t="s">
        <v>113</v>
      </c>
      <c r="Q25" s="29"/>
    </row>
    <row r="26" spans="3:17" ht="12.75">
      <c r="C26" s="32"/>
      <c r="D26" s="147" t="s">
        <v>59</v>
      </c>
      <c r="E26" s="181"/>
      <c r="F26" s="152">
        <v>30000</v>
      </c>
      <c r="G26" s="148" t="s">
        <v>60</v>
      </c>
      <c r="H26" s="149" t="s">
        <v>61</v>
      </c>
      <c r="I26" s="136"/>
      <c r="J26" s="181"/>
      <c r="K26" s="152">
        <v>10000</v>
      </c>
      <c r="L26" s="150" t="s">
        <v>60</v>
      </c>
      <c r="M26" s="37"/>
      <c r="N26" s="168" t="s">
        <v>97</v>
      </c>
      <c r="O26" s="169">
        <f>+Y160</f>
        <v>5051.808594868763</v>
      </c>
      <c r="P26" s="241" t="s">
        <v>112</v>
      </c>
      <c r="Q26" s="29"/>
    </row>
    <row r="27" spans="3:17" ht="12.75">
      <c r="C27" s="32"/>
      <c r="D27" s="147" t="s">
        <v>66</v>
      </c>
      <c r="E27" s="151"/>
      <c r="F27" s="152">
        <v>12</v>
      </c>
      <c r="G27" s="148" t="s">
        <v>67</v>
      </c>
      <c r="H27" s="149" t="s">
        <v>68</v>
      </c>
      <c r="I27" s="136"/>
      <c r="J27" s="181"/>
      <c r="K27" s="152">
        <v>0</v>
      </c>
      <c r="L27" s="150" t="s">
        <v>60</v>
      </c>
      <c r="M27" s="37"/>
      <c r="N27" s="41"/>
      <c r="O27" s="39"/>
      <c r="P27" s="39"/>
      <c r="Q27" s="29"/>
    </row>
    <row r="28" spans="3:17" ht="12.75">
      <c r="C28" s="32"/>
      <c r="D28" s="147" t="s">
        <v>90</v>
      </c>
      <c r="E28" s="132"/>
      <c r="F28" s="133">
        <v>6</v>
      </c>
      <c r="G28" s="148" t="s">
        <v>67</v>
      </c>
      <c r="H28" s="149" t="s">
        <v>62</v>
      </c>
      <c r="I28" s="136"/>
      <c r="J28" s="136"/>
      <c r="K28" s="153">
        <v>4</v>
      </c>
      <c r="L28" s="150" t="s">
        <v>3</v>
      </c>
      <c r="M28" s="37"/>
      <c r="P28" s="31"/>
      <c r="Q28" s="29"/>
    </row>
    <row r="29" spans="3:17" ht="14.25">
      <c r="C29" s="32"/>
      <c r="D29" s="147" t="s">
        <v>152</v>
      </c>
      <c r="E29" s="132"/>
      <c r="F29" s="154">
        <f>IF(F28&lt;&gt;0,PMT(K28/100,F28*12,F26-K26),0)</f>
        <v>-850.4978379612746</v>
      </c>
      <c r="G29" s="148" t="s">
        <v>63</v>
      </c>
      <c r="H29" s="155">
        <f>+F29*12</f>
        <v>-10205.974055535295</v>
      </c>
      <c r="I29" s="148" t="s">
        <v>64</v>
      </c>
      <c r="J29" s="317">
        <f>+H29*F28</f>
        <v>-61235.84433321177</v>
      </c>
      <c r="K29" s="317"/>
      <c r="L29" s="150" t="s">
        <v>65</v>
      </c>
      <c r="M29" s="37"/>
      <c r="Q29" s="29"/>
    </row>
    <row r="30" spans="3:17" ht="12.75">
      <c r="C30" s="32"/>
      <c r="D30" s="147"/>
      <c r="E30" s="132"/>
      <c r="F30" s="155"/>
      <c r="G30" s="148"/>
      <c r="H30" s="155"/>
      <c r="I30" s="148"/>
      <c r="J30" s="156"/>
      <c r="K30" s="156"/>
      <c r="L30" s="150"/>
      <c r="M30" s="37"/>
      <c r="Q30" s="29"/>
    </row>
    <row r="31" spans="3:17" ht="12.75">
      <c r="C31" s="32"/>
      <c r="D31" s="157" t="s">
        <v>108</v>
      </c>
      <c r="E31" s="139"/>
      <c r="F31" s="158">
        <f>+F29+F24</f>
        <v>-1594.68344617739</v>
      </c>
      <c r="G31" s="159" t="s">
        <v>63</v>
      </c>
      <c r="H31" s="158">
        <f>+H29+H24</f>
        <v>-19136.20135412868</v>
      </c>
      <c r="I31" s="159" t="s">
        <v>64</v>
      </c>
      <c r="J31" s="160"/>
      <c r="K31" s="160"/>
      <c r="L31" s="161"/>
      <c r="M31" s="37"/>
      <c r="N31" s="170"/>
      <c r="O31" s="171" t="s">
        <v>48</v>
      </c>
      <c r="P31" s="172"/>
      <c r="Q31" s="29"/>
    </row>
    <row r="32" spans="3:17" ht="12.75">
      <c r="C32" s="32"/>
      <c r="D32" s="35"/>
      <c r="E32" s="34"/>
      <c r="F32" s="40"/>
      <c r="G32" s="38"/>
      <c r="H32" s="40"/>
      <c r="I32" s="38"/>
      <c r="J32" s="42"/>
      <c r="K32" s="42"/>
      <c r="L32" s="38"/>
      <c r="M32" s="37"/>
      <c r="N32" s="170"/>
      <c r="O32" s="173">
        <v>38952</v>
      </c>
      <c r="P32" s="172"/>
      <c r="Q32" s="29"/>
    </row>
    <row r="33" spans="3:17" ht="12.75">
      <c r="C33" s="32"/>
      <c r="D33" s="35"/>
      <c r="E33" s="34"/>
      <c r="F33" s="40"/>
      <c r="G33" s="38"/>
      <c r="H33" s="40"/>
      <c r="I33" s="38"/>
      <c r="J33" s="42"/>
      <c r="K33" s="42"/>
      <c r="L33" s="38"/>
      <c r="M33" s="37"/>
      <c r="N33" s="170"/>
      <c r="O33" s="174" t="s">
        <v>55</v>
      </c>
      <c r="P33" s="172"/>
      <c r="Q33" s="29"/>
    </row>
    <row r="34" spans="3:17" ht="12.75">
      <c r="C34" s="32"/>
      <c r="P34" s="39"/>
      <c r="Q34" s="29"/>
    </row>
    <row r="35" spans="3:17" ht="13.5" thickBot="1">
      <c r="C35" s="32"/>
      <c r="D35" s="316" t="s">
        <v>54</v>
      </c>
      <c r="E35" s="316"/>
      <c r="F35" s="316"/>
      <c r="G35" s="316"/>
      <c r="H35" s="316"/>
      <c r="I35" s="316"/>
      <c r="J35" s="316"/>
      <c r="K35" s="316"/>
      <c r="L35" s="316"/>
      <c r="M35" s="316"/>
      <c r="N35" s="316"/>
      <c r="O35" s="316"/>
      <c r="P35" s="39"/>
      <c r="Q35" s="29"/>
    </row>
    <row r="36" spans="3:17" ht="15.75">
      <c r="C36" s="32"/>
      <c r="D36" s="5"/>
      <c r="E36" s="6" t="s">
        <v>0</v>
      </c>
      <c r="F36" s="45" t="s">
        <v>51</v>
      </c>
      <c r="G36" s="45" t="s">
        <v>6</v>
      </c>
      <c r="H36" s="7" t="s">
        <v>37</v>
      </c>
      <c r="I36" s="46" t="s">
        <v>40</v>
      </c>
      <c r="J36" s="312" t="s">
        <v>42</v>
      </c>
      <c r="K36" s="313"/>
      <c r="L36" s="315"/>
      <c r="M36" s="312" t="s">
        <v>57</v>
      </c>
      <c r="N36" s="313"/>
      <c r="O36" s="314"/>
      <c r="P36" s="39"/>
      <c r="Q36" s="29"/>
    </row>
    <row r="37" spans="3:17" ht="12.75">
      <c r="C37" s="32"/>
      <c r="D37" s="8" t="s">
        <v>36</v>
      </c>
      <c r="E37" s="9"/>
      <c r="F37" s="47" t="s">
        <v>52</v>
      </c>
      <c r="G37" s="47" t="s">
        <v>53</v>
      </c>
      <c r="H37" s="10" t="s">
        <v>38</v>
      </c>
      <c r="I37" s="48" t="s">
        <v>41</v>
      </c>
      <c r="J37" s="11" t="s">
        <v>9</v>
      </c>
      <c r="K37" s="12" t="s">
        <v>6</v>
      </c>
      <c r="L37" s="49" t="s">
        <v>10</v>
      </c>
      <c r="M37" s="11" t="s">
        <v>9</v>
      </c>
      <c r="N37" s="50" t="s">
        <v>6</v>
      </c>
      <c r="O37" s="51" t="s">
        <v>10</v>
      </c>
      <c r="P37" s="39"/>
      <c r="Q37" s="29"/>
    </row>
    <row r="38" spans="3:17" ht="14.25">
      <c r="C38" s="32"/>
      <c r="D38" s="13"/>
      <c r="E38" s="14" t="s">
        <v>45</v>
      </c>
      <c r="F38" s="52" t="s">
        <v>26</v>
      </c>
      <c r="G38" s="52" t="s">
        <v>26</v>
      </c>
      <c r="H38" s="15" t="s">
        <v>39</v>
      </c>
      <c r="I38" s="53" t="s">
        <v>7</v>
      </c>
      <c r="J38" s="16" t="s">
        <v>43</v>
      </c>
      <c r="K38" s="17" t="s">
        <v>43</v>
      </c>
      <c r="L38" s="54" t="s">
        <v>43</v>
      </c>
      <c r="M38" s="16" t="s">
        <v>44</v>
      </c>
      <c r="N38" s="55" t="s">
        <v>44</v>
      </c>
      <c r="O38" s="56" t="s">
        <v>44</v>
      </c>
      <c r="P38" s="39"/>
      <c r="Q38" s="29"/>
    </row>
    <row r="39" spans="3:17" ht="12.75">
      <c r="C39" s="32"/>
      <c r="D39" s="57">
        <v>0</v>
      </c>
      <c r="E39" s="58">
        <f>+$F$12</f>
        <v>0.38</v>
      </c>
      <c r="F39" s="59">
        <f>+E59</f>
        <v>2479.5</v>
      </c>
      <c r="G39" s="59">
        <f>+G59</f>
        <v>6062.5</v>
      </c>
      <c r="H39" s="60">
        <f>+H59</f>
        <v>24.539381443298968</v>
      </c>
      <c r="I39" s="61">
        <f>+M59</f>
        <v>-25</v>
      </c>
      <c r="J39" s="59">
        <f aca="true" t="shared" si="0" ref="J39:O39">+Q59</f>
        <v>19435.190103092784</v>
      </c>
      <c r="K39" s="59">
        <f t="shared" si="0"/>
        <v>0</v>
      </c>
      <c r="L39" s="59">
        <f t="shared" si="0"/>
        <v>19435.190103092784</v>
      </c>
      <c r="M39" s="59">
        <f t="shared" si="0"/>
        <v>52086.30947628866</v>
      </c>
      <c r="N39" s="59">
        <f t="shared" si="0"/>
        <v>0</v>
      </c>
      <c r="O39" s="62">
        <f t="shared" si="0"/>
        <v>52086.30947628866</v>
      </c>
      <c r="P39" s="39"/>
      <c r="Q39" s="29"/>
    </row>
    <row r="40" spans="3:17" ht="12.75">
      <c r="C40" s="32"/>
      <c r="D40" s="57">
        <f>+D39+3</f>
        <v>3</v>
      </c>
      <c r="E40" s="58">
        <f>+D62</f>
        <v>0.4703177149444444</v>
      </c>
      <c r="F40" s="59">
        <f>+E62</f>
        <v>3068.8230900125</v>
      </c>
      <c r="G40" s="59">
        <f>+G62</f>
        <v>5880.6552506625</v>
      </c>
      <c r="H40" s="60">
        <f>+H62</f>
        <v>31.311032113301735</v>
      </c>
      <c r="I40" s="61">
        <f>+M62</f>
        <v>-25</v>
      </c>
      <c r="J40" s="59">
        <f aca="true" t="shared" si="1" ref="J40:O40">+Q62</f>
        <v>27846.103353639297</v>
      </c>
      <c r="K40" s="59">
        <f t="shared" si="1"/>
        <v>861.0720180881518</v>
      </c>
      <c r="L40" s="59">
        <f t="shared" si="1"/>
        <v>28707.175371727448</v>
      </c>
      <c r="M40" s="59">
        <f t="shared" si="1"/>
        <v>64466.089612571704</v>
      </c>
      <c r="N40" s="59">
        <f t="shared" si="1"/>
        <v>1993.4547098380276</v>
      </c>
      <c r="O40" s="62">
        <f t="shared" si="1"/>
        <v>66459.54432240973</v>
      </c>
      <c r="P40" s="39"/>
      <c r="Q40" s="29"/>
    </row>
    <row r="41" spans="3:17" ht="12.75">
      <c r="C41" s="32"/>
      <c r="D41" s="57">
        <f aca="true" t="shared" si="2" ref="D41:D47">+D40+3</f>
        <v>6</v>
      </c>
      <c r="E41" s="58">
        <f>+D65</f>
        <v>0.5756202310759776</v>
      </c>
      <c r="F41" s="59">
        <f>+E65</f>
        <v>3755.9220077707537</v>
      </c>
      <c r="G41" s="59">
        <f>+G65</f>
        <v>5699.080288725214</v>
      </c>
      <c r="H41" s="60">
        <f>+H65</f>
        <v>39.54240141379958</v>
      </c>
      <c r="I41" s="61">
        <f>+M65</f>
        <v>-25</v>
      </c>
      <c r="J41" s="59">
        <f aca="true" t="shared" si="3" ref="J41:O41">+Q65</f>
        <v>39452.72817787785</v>
      </c>
      <c r="K41" s="59">
        <f t="shared" si="3"/>
        <v>2515.826827667682</v>
      </c>
      <c r="L41" s="59">
        <f t="shared" si="3"/>
        <v>41968.55500554553</v>
      </c>
      <c r="M41" s="59">
        <f t="shared" si="3"/>
        <v>78899.8249911478</v>
      </c>
      <c r="N41" s="59">
        <f t="shared" si="3"/>
        <v>5031.294553726649</v>
      </c>
      <c r="O41" s="62">
        <f t="shared" si="3"/>
        <v>83931.11954487445</v>
      </c>
      <c r="P41" s="39"/>
      <c r="Q41" s="29"/>
    </row>
    <row r="42" spans="3:17" ht="12.75">
      <c r="C42" s="32"/>
      <c r="D42" s="57">
        <f t="shared" si="2"/>
        <v>9</v>
      </c>
      <c r="E42" s="58">
        <f>+D68</f>
        <v>0.6966257350119196</v>
      </c>
      <c r="F42" s="59">
        <f>+E68</f>
        <v>4545.482920952775</v>
      </c>
      <c r="G42" s="59">
        <f>+G68</f>
        <v>5518.090236564487</v>
      </c>
      <c r="H42" s="60">
        <f>+H68</f>
        <v>49.424522536798</v>
      </c>
      <c r="I42" s="61">
        <f>+M68</f>
        <v>-25</v>
      </c>
      <c r="J42" s="59">
        <f aca="true" t="shared" si="4" ref="J42:O42">+Q68</f>
        <v>55272.41013905623</v>
      </c>
      <c r="K42" s="59">
        <f t="shared" si="4"/>
        <v>5453.125708043614</v>
      </c>
      <c r="L42" s="59">
        <f t="shared" si="4"/>
        <v>60725.53584709984</v>
      </c>
      <c r="M42" s="59">
        <f t="shared" si="4"/>
        <v>95485.95690257341</v>
      </c>
      <c r="N42" s="59">
        <f t="shared" si="4"/>
        <v>9420.557653132557</v>
      </c>
      <c r="O42" s="62">
        <f t="shared" si="4"/>
        <v>104906.51455570597</v>
      </c>
      <c r="P42" s="39"/>
      <c r="Q42" s="29"/>
    </row>
    <row r="43" spans="3:17" ht="12.75">
      <c r="C43" s="32"/>
      <c r="D43" s="57">
        <f t="shared" si="2"/>
        <v>12</v>
      </c>
      <c r="E43" s="58">
        <f>+D71</f>
        <v>0.8336108817261261</v>
      </c>
      <c r="F43" s="59">
        <f>+E71</f>
        <v>5439.311003262973</v>
      </c>
      <c r="G43" s="59">
        <f>+G71</f>
        <v>5337.988926361714</v>
      </c>
      <c r="H43" s="60">
        <f>+H71</f>
        <v>61.13887921049306</v>
      </c>
      <c r="I43" s="61">
        <f>+M71</f>
        <v>-24.679595588855555</v>
      </c>
      <c r="J43" s="59">
        <f aca="true" t="shared" si="5" ref="J43:O43">+Q71</f>
        <v>76566.7406937796</v>
      </c>
      <c r="K43" s="59">
        <f t="shared" si="5"/>
        <v>8772.351918792034</v>
      </c>
      <c r="L43" s="59">
        <f t="shared" si="5"/>
        <v>85339.09261257164</v>
      </c>
      <c r="M43" s="59">
        <f t="shared" si="5"/>
        <v>114262.40623260233</v>
      </c>
      <c r="N43" s="59">
        <f t="shared" si="5"/>
        <v>13091.193767397706</v>
      </c>
      <c r="O43" s="62">
        <f t="shared" si="5"/>
        <v>127353.60000000003</v>
      </c>
      <c r="P43" s="39"/>
      <c r="Q43" s="29"/>
    </row>
    <row r="44" spans="3:17" ht="12.75">
      <c r="C44" s="32"/>
      <c r="D44" s="57">
        <f t="shared" si="2"/>
        <v>15</v>
      </c>
      <c r="E44" s="58">
        <f>+D74</f>
        <v>0.986300236160638</v>
      </c>
      <c r="F44" s="59">
        <f>+E74</f>
        <v>6435.609040948162</v>
      </c>
      <c r="G44" s="59">
        <f>+G74</f>
        <v>5159.0681702311695</v>
      </c>
      <c r="H44" s="60">
        <f>+H74</f>
        <v>74.84617952617353</v>
      </c>
      <c r="I44" s="61">
        <f>+M74</f>
        <v>-21.17851733378707</v>
      </c>
      <c r="J44" s="59">
        <f aca="true" t="shared" si="6" ref="J44:O44">+Q74</f>
        <v>98790.66708562824</v>
      </c>
      <c r="K44" s="59">
        <f t="shared" si="6"/>
        <v>0</v>
      </c>
      <c r="L44" s="59">
        <f t="shared" si="6"/>
        <v>98790.66708562824</v>
      </c>
      <c r="M44" s="59">
        <f t="shared" si="6"/>
        <v>127353.6</v>
      </c>
      <c r="N44" s="59">
        <f t="shared" si="6"/>
        <v>0</v>
      </c>
      <c r="O44" s="62">
        <f t="shared" si="6"/>
        <v>127353.6</v>
      </c>
      <c r="P44" s="39"/>
      <c r="Q44" s="29"/>
    </row>
    <row r="45" spans="3:17" ht="12.75">
      <c r="C45" s="32"/>
      <c r="D45" s="57">
        <f t="shared" si="2"/>
        <v>18</v>
      </c>
      <c r="E45" s="58">
        <f>+D77</f>
        <v>1.1537671379124563</v>
      </c>
      <c r="F45" s="59">
        <f>+E77</f>
        <v>7528.330574878777</v>
      </c>
      <c r="G45" s="59">
        <f>+G77</f>
        <v>4981.6071067849825</v>
      </c>
      <c r="H45" s="60">
        <f>+H77</f>
        <v>90.67351656004915</v>
      </c>
      <c r="I45" s="61">
        <f>+M77</f>
        <v>-17.96711981835189</v>
      </c>
      <c r="J45" s="59">
        <f aca="true" t="shared" si="7" ref="J45:O45">+Q77</f>
        <v>114362.54598500041</v>
      </c>
      <c r="K45" s="59">
        <f t="shared" si="7"/>
        <v>0</v>
      </c>
      <c r="L45" s="59">
        <f t="shared" si="7"/>
        <v>114362.54598500041</v>
      </c>
      <c r="M45" s="59">
        <f t="shared" si="7"/>
        <v>127353.6</v>
      </c>
      <c r="N45" s="59">
        <f t="shared" si="7"/>
        <v>0</v>
      </c>
      <c r="O45" s="62">
        <f t="shared" si="7"/>
        <v>127353.6</v>
      </c>
      <c r="P45" s="39"/>
      <c r="Q45" s="29"/>
    </row>
    <row r="46" spans="3:17" ht="12.75">
      <c r="C46" s="32"/>
      <c r="D46" s="57">
        <f t="shared" si="2"/>
        <v>21</v>
      </c>
      <c r="E46" s="58">
        <f>+D80</f>
        <v>1.3343559055171814</v>
      </c>
      <c r="F46" s="59">
        <f>+E80</f>
        <v>8706.672283499609</v>
      </c>
      <c r="G46" s="59">
        <f>+G80</f>
        <v>4805.871625196623</v>
      </c>
      <c r="H46" s="60">
        <f>+H80</f>
        <v>108.7004351658277</v>
      </c>
      <c r="I46" s="61">
        <f>+M80</f>
        <v>-15.173258035681776</v>
      </c>
      <c r="J46" s="59">
        <f aca="true" t="shared" si="8" ref="J46:O46">+Q80</f>
        <v>132388.94229588614</v>
      </c>
      <c r="K46" s="59">
        <f t="shared" si="8"/>
        <v>0</v>
      </c>
      <c r="L46" s="59">
        <f t="shared" si="8"/>
        <v>132388.94229588614</v>
      </c>
      <c r="M46" s="59">
        <f t="shared" si="8"/>
        <v>127353.6</v>
      </c>
      <c r="N46" s="59">
        <f t="shared" si="8"/>
        <v>0</v>
      </c>
      <c r="O46" s="62">
        <f t="shared" si="8"/>
        <v>127353.6</v>
      </c>
      <c r="P46" s="39"/>
      <c r="Q46" s="29"/>
    </row>
    <row r="47" spans="3:17" ht="13.5" thickBot="1">
      <c r="C47" s="32"/>
      <c r="D47" s="63">
        <f t="shared" si="2"/>
        <v>24</v>
      </c>
      <c r="E47" s="64">
        <f>+D83</f>
        <v>1.5256354371650716</v>
      </c>
      <c r="F47" s="65">
        <f>+E83</f>
        <v>9954.771227502093</v>
      </c>
      <c r="G47" s="65">
        <f>+G83</f>
        <v>4632.113867307732</v>
      </c>
      <c r="H47" s="66">
        <f>+H83</f>
        <v>128.94464401352877</v>
      </c>
      <c r="I47" s="67">
        <f>+M83</f>
        <v>-12.80668935413366</v>
      </c>
      <c r="J47" s="65">
        <f aca="true" t="shared" si="9" ref="J47:O47">+Q83</f>
        <v>153256.74932527522</v>
      </c>
      <c r="K47" s="65">
        <f t="shared" si="9"/>
        <v>0</v>
      </c>
      <c r="L47" s="65">
        <f t="shared" si="9"/>
        <v>153256.74932527522</v>
      </c>
      <c r="M47" s="65">
        <f t="shared" si="9"/>
        <v>127353.6</v>
      </c>
      <c r="N47" s="65">
        <f t="shared" si="9"/>
        <v>0</v>
      </c>
      <c r="O47" s="68">
        <f t="shared" si="9"/>
        <v>127353.6</v>
      </c>
      <c r="P47" s="39"/>
      <c r="Q47" s="29"/>
    </row>
    <row r="48" spans="16:17" ht="12.75">
      <c r="P48" s="39"/>
      <c r="Q48" s="29"/>
    </row>
    <row r="49" ht="12.75">
      <c r="Q49" s="29"/>
    </row>
    <row r="50" spans="13:17" ht="12.75">
      <c r="M50" s="26"/>
      <c r="P50" s="69"/>
      <c r="Q50" s="29"/>
    </row>
    <row r="51" spans="13:17" ht="12.75">
      <c r="M51" s="26"/>
      <c r="P51" s="69"/>
      <c r="Q51" s="29"/>
    </row>
    <row r="52" spans="13:17" ht="12.75">
      <c r="M52" s="70"/>
      <c r="P52" s="69"/>
      <c r="Q52" s="29"/>
    </row>
    <row r="53" spans="17:21" ht="12.75">
      <c r="Q53" s="29"/>
      <c r="U53" s="30"/>
    </row>
    <row r="54" ht="12.75">
      <c r="U54" s="30"/>
    </row>
    <row r="55" spans="3:21" ht="12.75">
      <c r="C55" s="31" t="s">
        <v>92</v>
      </c>
      <c r="T55" s="30" t="s">
        <v>91</v>
      </c>
      <c r="U55" s="30"/>
    </row>
    <row r="56" spans="3:25" s="71" customFormat="1" ht="12.75">
      <c r="C56" s="72" t="s">
        <v>15</v>
      </c>
      <c r="D56" s="73"/>
      <c r="E56" s="74"/>
      <c r="F56" s="72" t="s">
        <v>6</v>
      </c>
      <c r="G56" s="75"/>
      <c r="H56" s="76"/>
      <c r="I56" s="77" t="s">
        <v>16</v>
      </c>
      <c r="J56" s="77" t="s">
        <v>19</v>
      </c>
      <c r="K56" s="77" t="s">
        <v>17</v>
      </c>
      <c r="L56" s="77" t="s">
        <v>18</v>
      </c>
      <c r="M56" s="37" t="s">
        <v>20</v>
      </c>
      <c r="N56" s="71" t="s">
        <v>71</v>
      </c>
      <c r="O56" s="71" t="s">
        <v>13</v>
      </c>
      <c r="P56" s="77" t="s">
        <v>14</v>
      </c>
      <c r="Q56" s="71" t="s">
        <v>9</v>
      </c>
      <c r="R56" s="77" t="s">
        <v>6</v>
      </c>
      <c r="S56" s="71" t="s">
        <v>10</v>
      </c>
      <c r="T56" s="77" t="s">
        <v>9</v>
      </c>
      <c r="U56" s="77" t="s">
        <v>6</v>
      </c>
      <c r="V56" s="77" t="s">
        <v>10</v>
      </c>
      <c r="W56" s="77"/>
      <c r="X56" s="77"/>
      <c r="Y56" s="77"/>
    </row>
    <row r="57" spans="3:22" s="71" customFormat="1" ht="12.75">
      <c r="C57" s="78" t="s">
        <v>12</v>
      </c>
      <c r="D57" s="79" t="s">
        <v>0</v>
      </c>
      <c r="E57" s="80" t="s">
        <v>2</v>
      </c>
      <c r="F57" s="72" t="s">
        <v>3</v>
      </c>
      <c r="G57" s="75" t="s">
        <v>2</v>
      </c>
      <c r="H57" s="76" t="s">
        <v>4</v>
      </c>
      <c r="I57" s="77" t="s">
        <v>2</v>
      </c>
      <c r="J57" s="77" t="s">
        <v>1</v>
      </c>
      <c r="K57" s="77" t="s">
        <v>2</v>
      </c>
      <c r="L57" s="77" t="s">
        <v>2</v>
      </c>
      <c r="M57" s="37" t="s">
        <v>1</v>
      </c>
      <c r="O57" s="71" t="s">
        <v>4</v>
      </c>
      <c r="P57" s="77"/>
      <c r="Q57" s="71" t="s">
        <v>8</v>
      </c>
      <c r="R57" s="77" t="s">
        <v>8</v>
      </c>
      <c r="T57" s="71" t="s">
        <v>11</v>
      </c>
      <c r="U57" s="71" t="s">
        <v>11</v>
      </c>
      <c r="V57" s="71" t="s">
        <v>11</v>
      </c>
    </row>
    <row r="58" spans="5:25" s="71" customFormat="1" ht="12.75">
      <c r="E58" s="81"/>
      <c r="G58" s="77"/>
      <c r="H58" s="82"/>
      <c r="I58" s="77"/>
      <c r="J58" s="77"/>
      <c r="K58" s="77"/>
      <c r="L58" s="77"/>
      <c r="M58" s="37"/>
      <c r="P58" s="77"/>
      <c r="R58" s="77"/>
      <c r="U58" s="77"/>
      <c r="V58" s="77"/>
      <c r="W58" s="77"/>
      <c r="X58" s="77"/>
      <c r="Y58" s="77"/>
    </row>
    <row r="59" spans="1:25" s="71" customFormat="1" ht="12.75">
      <c r="A59" s="71">
        <v>0</v>
      </c>
      <c r="C59" s="71">
        <v>0</v>
      </c>
      <c r="D59" s="83">
        <f>+$F$12</f>
        <v>0.38</v>
      </c>
      <c r="E59" s="77">
        <f aca="true" t="shared" si="10" ref="E59:E83">+$F$11*D59*($F$17-$K$17)</f>
        <v>2479.5</v>
      </c>
      <c r="F59" s="81">
        <v>1</v>
      </c>
      <c r="G59" s="77">
        <f aca="true" t="shared" si="11" ref="G59:G83">F59*($S$11*$K$17^2+$S$10*$K$17+$S$9)</f>
        <v>6062.5</v>
      </c>
      <c r="H59" s="82">
        <f>+E59/G59*60</f>
        <v>24.539381443298968</v>
      </c>
      <c r="I59" s="77">
        <f>IF(G59&lt;E59,+(G59+E59)/2,G59)</f>
        <v>6062.5</v>
      </c>
      <c r="J59" s="77">
        <f aca="true" t="shared" si="12" ref="J59:J83">IF(I59&lt;E59,+$F$17-I59/(D59*$F$11),$K$17)</f>
        <v>-25</v>
      </c>
      <c r="K59" s="77">
        <f aca="true" t="shared" si="13" ref="K59:K83">+F59*($S$11*J59^2+$S$10*J59+$S$9)</f>
        <v>6062.5</v>
      </c>
      <c r="L59" s="77">
        <f>IF(I59&lt;E59,+(K59+4*I59)/5,I59)</f>
        <v>6062.5</v>
      </c>
      <c r="M59" s="37">
        <f aca="true" t="shared" si="14" ref="M59:M83">IF(L59&lt;E59,+$F$17-L59/(D59*$F$11),$K$17)</f>
        <v>-25</v>
      </c>
      <c r="N59" s="81">
        <f>+$O$11</f>
        <v>1</v>
      </c>
      <c r="O59" s="77">
        <f aca="true" t="shared" si="15" ref="O59:O83">IF(+E59/($S$11*$K$17^2+$S$10*$K$17+$S$9)*60&lt;60,+E59/($S$11*$K$17^2+$S$10*$K$17+$S$9)*60,60)</f>
        <v>24.539381443298968</v>
      </c>
      <c r="P59" s="82">
        <f aca="true" t="shared" si="16" ref="P59:P83">+E59/($S$11*$K$17^2+$S$10*$K$17+$S$9)/F59*60</f>
        <v>24.539381443298968</v>
      </c>
      <c r="Q59" s="77">
        <f aca="true" t="shared" si="17" ref="Q59:Q83">+O59*24/60*$F$16*$K$11*N59</f>
        <v>19435.190103092784</v>
      </c>
      <c r="R59" s="77">
        <f aca="true" t="shared" si="18" ref="R59:R83">IF(P59&gt;60,+(60-O59)*24/60*$F$16*$K$11*N59,+(P59-O59)*24/60*$F$16*$K$11*N59)</f>
        <v>0</v>
      </c>
      <c r="S59" s="77">
        <f>+Q59+R59</f>
        <v>19435.190103092784</v>
      </c>
      <c r="T59" s="77">
        <f aca="true" t="shared" si="19" ref="T59:T83">+O59*24/60*$F$16*$K$11*$K$12</f>
        <v>52086.30947628866</v>
      </c>
      <c r="U59" s="77">
        <f aca="true" t="shared" si="20" ref="U59:U83">IF(P59&gt;60,+(60-O59)*24/60*$F$16*$K$11*$K$12,+(P59-O59)*24/60*$F$16*$K$11*$K$12)</f>
        <v>0</v>
      </c>
      <c r="V59" s="77">
        <f>+T59+U59</f>
        <v>52086.30947628866</v>
      </c>
      <c r="W59" s="77"/>
      <c r="X59" s="77"/>
      <c r="Y59" s="77"/>
    </row>
    <row r="60" spans="1:25" s="71" customFormat="1" ht="12.75">
      <c r="A60" s="71">
        <f>+A59+1</f>
        <v>1</v>
      </c>
      <c r="C60" s="71">
        <f>IF(C59+1&lt;$F$22,C59+1,0)</f>
        <v>1</v>
      </c>
      <c r="D60" s="83">
        <f aca="true" t="shared" si="21" ref="D60:D83">+D59*(1+($F$13-A59/$F$13)/100)</f>
        <v>0.4085</v>
      </c>
      <c r="E60" s="77">
        <f t="shared" si="10"/>
        <v>2665.4624999999996</v>
      </c>
      <c r="F60" s="81">
        <f aca="true" t="shared" si="22" ref="F60:F83">+F59*(1-($K$13+A59/100)/100)</f>
        <v>0.99</v>
      </c>
      <c r="G60" s="77">
        <f t="shared" si="11"/>
        <v>6001.875</v>
      </c>
      <c r="H60" s="82">
        <f aca="true" t="shared" si="23" ref="H60:H83">+E60/G60*60</f>
        <v>26.64629803186504</v>
      </c>
      <c r="I60" s="77">
        <f aca="true" t="shared" si="24" ref="I60:I83">IF(G60&lt;E60,+(G60+E60)/2,G60)</f>
        <v>6001.875</v>
      </c>
      <c r="J60" s="77">
        <f t="shared" si="12"/>
        <v>-25</v>
      </c>
      <c r="K60" s="77">
        <f t="shared" si="13"/>
        <v>6001.875</v>
      </c>
      <c r="L60" s="77">
        <f aca="true" t="shared" si="25" ref="L60:L83">IF(I60&lt;E60,+(K60+4*I60)/5,I60)</f>
        <v>6001.875</v>
      </c>
      <c r="M60" s="37">
        <f t="shared" si="14"/>
        <v>-25</v>
      </c>
      <c r="N60" s="81">
        <f aca="true" t="shared" si="26" ref="N60:N83">+N59*(1+$R$12)</f>
        <v>1.05</v>
      </c>
      <c r="O60" s="77">
        <f t="shared" si="15"/>
        <v>26.37983505154639</v>
      </c>
      <c r="P60" s="82">
        <f t="shared" si="16"/>
        <v>26.64629803186504</v>
      </c>
      <c r="Q60" s="77">
        <f t="shared" si="17"/>
        <v>21937.470828865975</v>
      </c>
      <c r="R60" s="77">
        <f t="shared" si="18"/>
        <v>221.59061443298936</v>
      </c>
      <c r="S60" s="77">
        <f>+Q60+R60</f>
        <v>22159.061443298964</v>
      </c>
      <c r="T60" s="77">
        <f t="shared" si="19"/>
        <v>55992.782687010294</v>
      </c>
      <c r="U60" s="77">
        <f t="shared" si="20"/>
        <v>565.5836635051538</v>
      </c>
      <c r="V60" s="77">
        <f aca="true" t="shared" si="27" ref="V60:V83">+T60+U60</f>
        <v>56558.36635051545</v>
      </c>
      <c r="W60" s="77"/>
      <c r="X60" s="77"/>
      <c r="Y60" s="77"/>
    </row>
    <row r="61" spans="1:25" s="71" customFormat="1" ht="12.75">
      <c r="A61" s="71">
        <f aca="true" t="shared" si="28" ref="A61:A67">+A60+1</f>
        <v>2</v>
      </c>
      <c r="C61" s="71">
        <f aca="true" t="shared" si="29" ref="C61:C83">IF(C60+1&lt;$F$22,C60+1,0)</f>
        <v>2</v>
      </c>
      <c r="D61" s="83">
        <f t="shared" si="21"/>
        <v>0.43859283333333327</v>
      </c>
      <c r="E61" s="77">
        <f t="shared" si="10"/>
        <v>2861.8182374999997</v>
      </c>
      <c r="F61" s="81">
        <f t="shared" si="22"/>
        <v>0.980001</v>
      </c>
      <c r="G61" s="77">
        <f t="shared" si="11"/>
        <v>5941.2560625</v>
      </c>
      <c r="H61" s="82">
        <f t="shared" si="23"/>
        <v>28.901143536598745</v>
      </c>
      <c r="I61" s="77">
        <f t="shared" si="24"/>
        <v>5941.2560625</v>
      </c>
      <c r="J61" s="77">
        <f t="shared" si="12"/>
        <v>-25</v>
      </c>
      <c r="K61" s="77">
        <f t="shared" si="13"/>
        <v>5941.2560625</v>
      </c>
      <c r="L61" s="77">
        <f t="shared" si="25"/>
        <v>5941.2560625</v>
      </c>
      <c r="M61" s="37">
        <f t="shared" si="14"/>
        <v>-25</v>
      </c>
      <c r="N61" s="81">
        <f t="shared" si="26"/>
        <v>1.1025</v>
      </c>
      <c r="O61" s="77">
        <f t="shared" si="15"/>
        <v>28.323149567010304</v>
      </c>
      <c r="P61" s="82">
        <f t="shared" si="16"/>
        <v>28.901143536598745</v>
      </c>
      <c r="Q61" s="77">
        <f t="shared" si="17"/>
        <v>24731.20773892206</v>
      </c>
      <c r="R61" s="77">
        <f t="shared" si="18"/>
        <v>504.6927743652348</v>
      </c>
      <c r="S61" s="77">
        <f aca="true" t="shared" si="30" ref="S61:S67">+Q61+R61</f>
        <v>25235.900513287295</v>
      </c>
      <c r="T61" s="77">
        <f t="shared" si="19"/>
        <v>60117.5843449534</v>
      </c>
      <c r="U61" s="77">
        <f t="shared" si="20"/>
        <v>1226.826880089641</v>
      </c>
      <c r="V61" s="77">
        <f t="shared" si="27"/>
        <v>61344.41122504304</v>
      </c>
      <c r="W61" s="77"/>
      <c r="X61" s="77"/>
      <c r="Y61" s="77"/>
    </row>
    <row r="62" spans="1:25" s="71" customFormat="1" ht="12.75">
      <c r="A62" s="71">
        <f t="shared" si="28"/>
        <v>3</v>
      </c>
      <c r="C62" s="71">
        <f t="shared" si="29"/>
        <v>3</v>
      </c>
      <c r="D62" s="83">
        <f t="shared" si="21"/>
        <v>0.4703177149444444</v>
      </c>
      <c r="E62" s="77">
        <f t="shared" si="10"/>
        <v>3068.8230900125</v>
      </c>
      <c r="F62" s="81">
        <f t="shared" si="22"/>
        <v>0.9700049898</v>
      </c>
      <c r="G62" s="77">
        <f t="shared" si="11"/>
        <v>5880.6552506625</v>
      </c>
      <c r="H62" s="82">
        <f t="shared" si="23"/>
        <v>31.311032113301735</v>
      </c>
      <c r="I62" s="77">
        <f t="shared" si="24"/>
        <v>5880.6552506625</v>
      </c>
      <c r="J62" s="77">
        <f t="shared" si="12"/>
        <v>-25</v>
      </c>
      <c r="K62" s="77">
        <f t="shared" si="13"/>
        <v>5880.6552506625</v>
      </c>
      <c r="L62" s="77">
        <f t="shared" si="25"/>
        <v>5880.6552506625</v>
      </c>
      <c r="M62" s="37">
        <f t="shared" si="14"/>
        <v>-25</v>
      </c>
      <c r="N62" s="81">
        <f t="shared" si="26"/>
        <v>1.1576250000000001</v>
      </c>
      <c r="O62" s="77">
        <f t="shared" si="15"/>
        <v>30.371857385690724</v>
      </c>
      <c r="P62" s="82">
        <f t="shared" si="16"/>
        <v>31.311032113301735</v>
      </c>
      <c r="Q62" s="77">
        <f t="shared" si="17"/>
        <v>27846.103353639297</v>
      </c>
      <c r="R62" s="77">
        <f t="shared" si="18"/>
        <v>861.0720180881518</v>
      </c>
      <c r="S62" s="77">
        <f t="shared" si="30"/>
        <v>28707.175371727448</v>
      </c>
      <c r="T62" s="77">
        <f t="shared" si="19"/>
        <v>64466.089612571704</v>
      </c>
      <c r="U62" s="77">
        <f t="shared" si="20"/>
        <v>1993.4547098380276</v>
      </c>
      <c r="V62" s="77">
        <f t="shared" si="27"/>
        <v>66459.54432240973</v>
      </c>
      <c r="W62" s="77"/>
      <c r="X62" s="77"/>
      <c r="Y62" s="77"/>
    </row>
    <row r="63" spans="1:25" s="71" customFormat="1" ht="12.75">
      <c r="A63" s="71">
        <f t="shared" si="28"/>
        <v>4</v>
      </c>
      <c r="C63" s="71">
        <f t="shared" si="29"/>
        <v>4</v>
      </c>
      <c r="D63" s="83">
        <f t="shared" si="21"/>
        <v>0.5037102727055</v>
      </c>
      <c r="E63" s="77">
        <f t="shared" si="10"/>
        <v>3286.7095294033875</v>
      </c>
      <c r="F63" s="81">
        <f t="shared" si="22"/>
        <v>0.9600139384050601</v>
      </c>
      <c r="G63" s="77">
        <f t="shared" si="11"/>
        <v>5820.084501580677</v>
      </c>
      <c r="H63" s="82">
        <f t="shared" si="23"/>
        <v>33.883111441190415</v>
      </c>
      <c r="I63" s="77">
        <f t="shared" si="24"/>
        <v>5820.084501580677</v>
      </c>
      <c r="J63" s="77">
        <f t="shared" si="12"/>
        <v>-25</v>
      </c>
      <c r="K63" s="77">
        <f t="shared" si="13"/>
        <v>5820.084501580677</v>
      </c>
      <c r="L63" s="77">
        <f t="shared" si="25"/>
        <v>5820.084501580677</v>
      </c>
      <c r="M63" s="37">
        <f t="shared" si="14"/>
        <v>-25</v>
      </c>
      <c r="N63" s="81">
        <f t="shared" si="26"/>
        <v>1.2155062500000002</v>
      </c>
      <c r="O63" s="77">
        <f t="shared" si="15"/>
        <v>32.52825926007476</v>
      </c>
      <c r="P63" s="82">
        <f t="shared" si="16"/>
        <v>33.883111441190415</v>
      </c>
      <c r="Q63" s="77">
        <f t="shared" si="17"/>
        <v>31314.335526335075</v>
      </c>
      <c r="R63" s="77">
        <f t="shared" si="18"/>
        <v>1304.2903848259893</v>
      </c>
      <c r="S63" s="77">
        <f t="shared" si="30"/>
        <v>32618.625911161063</v>
      </c>
      <c r="T63" s="77">
        <f t="shared" si="19"/>
        <v>69043.18197506429</v>
      </c>
      <c r="U63" s="77">
        <f t="shared" si="20"/>
        <v>2875.7550455488413</v>
      </c>
      <c r="V63" s="77">
        <f t="shared" si="27"/>
        <v>71918.93702061313</v>
      </c>
      <c r="W63" s="77"/>
      <c r="X63" s="77"/>
      <c r="Y63" s="77"/>
    </row>
    <row r="64" spans="1:25" s="71" customFormat="1" ht="12.75">
      <c r="A64" s="71">
        <f t="shared" si="28"/>
        <v>5</v>
      </c>
      <c r="C64" s="71">
        <f t="shared" si="29"/>
        <v>5</v>
      </c>
      <c r="D64" s="83">
        <f t="shared" si="21"/>
        <v>0.5388020883706498</v>
      </c>
      <c r="E64" s="77">
        <f t="shared" si="10"/>
        <v>3515.6836266184896</v>
      </c>
      <c r="F64" s="81">
        <f t="shared" si="22"/>
        <v>0.9500297934456475</v>
      </c>
      <c r="G64" s="77">
        <f t="shared" si="11"/>
        <v>5759.555622764238</v>
      </c>
      <c r="H64" s="82">
        <f t="shared" si="23"/>
        <v>36.62452998342092</v>
      </c>
      <c r="I64" s="77">
        <f t="shared" si="24"/>
        <v>5759.555622764238</v>
      </c>
      <c r="J64" s="77">
        <f t="shared" si="12"/>
        <v>-25</v>
      </c>
      <c r="K64" s="77">
        <f t="shared" si="13"/>
        <v>5759.555622764238</v>
      </c>
      <c r="L64" s="77">
        <f t="shared" si="25"/>
        <v>5759.555622764238</v>
      </c>
      <c r="M64" s="37">
        <f t="shared" si="14"/>
        <v>-25</v>
      </c>
      <c r="N64" s="81">
        <f t="shared" si="26"/>
        <v>1.2762815625000004</v>
      </c>
      <c r="O64" s="77">
        <f t="shared" si="15"/>
        <v>34.794394655193294</v>
      </c>
      <c r="P64" s="82">
        <f t="shared" si="16"/>
        <v>36.62452998342091</v>
      </c>
      <c r="Q64" s="77">
        <f t="shared" si="17"/>
        <v>35170.69594640323</v>
      </c>
      <c r="R64" s="77">
        <f t="shared" si="18"/>
        <v>1849.9282372270632</v>
      </c>
      <c r="S64" s="77">
        <f t="shared" si="30"/>
        <v>37020.624183630294</v>
      </c>
      <c r="T64" s="77">
        <f t="shared" si="19"/>
        <v>73853.19031932708</v>
      </c>
      <c r="U64" s="77">
        <f t="shared" si="20"/>
        <v>3884.572042282816</v>
      </c>
      <c r="V64" s="77">
        <f t="shared" si="27"/>
        <v>77737.7623616099</v>
      </c>
      <c r="W64" s="77"/>
      <c r="X64" s="77"/>
      <c r="Y64" s="77"/>
    </row>
    <row r="65" spans="1:25" s="71" customFormat="1" ht="12.75">
      <c r="A65" s="71">
        <f t="shared" si="28"/>
        <v>6</v>
      </c>
      <c r="C65" s="71">
        <f t="shared" si="29"/>
        <v>6</v>
      </c>
      <c r="D65" s="83">
        <f t="shared" si="21"/>
        <v>0.5756202310759776</v>
      </c>
      <c r="E65" s="77">
        <f t="shared" si="10"/>
        <v>3755.9220077707537</v>
      </c>
      <c r="F65" s="81">
        <f t="shared" si="22"/>
        <v>0.9400544806144683</v>
      </c>
      <c r="G65" s="77">
        <f t="shared" si="11"/>
        <v>5699.080288725214</v>
      </c>
      <c r="H65" s="82">
        <f t="shared" si="23"/>
        <v>39.54240141379958</v>
      </c>
      <c r="I65" s="77">
        <f t="shared" si="24"/>
        <v>5699.080288725214</v>
      </c>
      <c r="J65" s="77">
        <f t="shared" si="12"/>
        <v>-25</v>
      </c>
      <c r="K65" s="77">
        <f t="shared" si="13"/>
        <v>5699.080288725214</v>
      </c>
      <c r="L65" s="77">
        <f t="shared" si="25"/>
        <v>5699.080288725214</v>
      </c>
      <c r="M65" s="37">
        <f t="shared" si="14"/>
        <v>-25</v>
      </c>
      <c r="N65" s="81">
        <f t="shared" si="26"/>
        <v>1.3400956406250004</v>
      </c>
      <c r="O65" s="77">
        <f t="shared" si="15"/>
        <v>37.17201162329818</v>
      </c>
      <c r="P65" s="82">
        <f t="shared" si="16"/>
        <v>39.54240141379958</v>
      </c>
      <c r="Q65" s="77">
        <f t="shared" si="17"/>
        <v>39452.72817787785</v>
      </c>
      <c r="R65" s="77">
        <f t="shared" si="18"/>
        <v>2515.826827667682</v>
      </c>
      <c r="S65" s="77">
        <f t="shared" si="30"/>
        <v>41968.55500554553</v>
      </c>
      <c r="T65" s="77">
        <f t="shared" si="19"/>
        <v>78899.8249911478</v>
      </c>
      <c r="U65" s="77">
        <f t="shared" si="20"/>
        <v>5031.294553726649</v>
      </c>
      <c r="V65" s="77">
        <f t="shared" si="27"/>
        <v>83931.11954487445</v>
      </c>
      <c r="W65" s="77"/>
      <c r="X65" s="77"/>
      <c r="Y65" s="77"/>
    </row>
    <row r="66" spans="1:25" s="71" customFormat="1" ht="12.75">
      <c r="A66" s="71">
        <f t="shared" si="28"/>
        <v>7</v>
      </c>
      <c r="C66" s="71">
        <f t="shared" si="29"/>
        <v>7</v>
      </c>
      <c r="D66" s="83">
        <f t="shared" si="21"/>
        <v>0.614186786558068</v>
      </c>
      <c r="E66" s="77">
        <f t="shared" si="10"/>
        <v>4007.568782291394</v>
      </c>
      <c r="F66" s="81">
        <f t="shared" si="22"/>
        <v>0.9300899031199549</v>
      </c>
      <c r="G66" s="77">
        <f t="shared" si="11"/>
        <v>5638.670037664727</v>
      </c>
      <c r="H66" s="82">
        <f t="shared" si="23"/>
        <v>42.643766230568176</v>
      </c>
      <c r="I66" s="77">
        <f t="shared" si="24"/>
        <v>5638.670037664727</v>
      </c>
      <c r="J66" s="77">
        <f t="shared" si="12"/>
        <v>-25</v>
      </c>
      <c r="K66" s="77">
        <f t="shared" si="13"/>
        <v>5638.670037664727</v>
      </c>
      <c r="L66" s="77">
        <f t="shared" si="25"/>
        <v>5638.670037664727</v>
      </c>
      <c r="M66" s="37">
        <f t="shared" si="14"/>
        <v>-25</v>
      </c>
      <c r="N66" s="81">
        <f t="shared" si="26"/>
        <v>1.4071004226562505</v>
      </c>
      <c r="O66" s="77">
        <f t="shared" si="15"/>
        <v>39.66253640205916</v>
      </c>
      <c r="P66" s="82">
        <f t="shared" si="16"/>
        <v>42.643766230568176</v>
      </c>
      <c r="Q66" s="77">
        <f t="shared" si="17"/>
        <v>44200.86401408544</v>
      </c>
      <c r="R66" s="77">
        <f t="shared" si="18"/>
        <v>3322.3526833705214</v>
      </c>
      <c r="S66" s="77">
        <f t="shared" si="30"/>
        <v>47523.21669745596</v>
      </c>
      <c r="T66" s="77">
        <f t="shared" si="19"/>
        <v>84186.1132655547</v>
      </c>
      <c r="U66" s="77">
        <f t="shared" si="20"/>
        <v>6327.839184800096</v>
      </c>
      <c r="V66" s="77">
        <f t="shared" si="27"/>
        <v>90513.95245035479</v>
      </c>
      <c r="W66" s="77"/>
      <c r="X66" s="77"/>
      <c r="Y66" s="77"/>
    </row>
    <row r="67" spans="1:25" s="71" customFormat="1" ht="12.75">
      <c r="A67" s="71">
        <f t="shared" si="28"/>
        <v>8</v>
      </c>
      <c r="C67" s="71">
        <f t="shared" si="29"/>
        <v>0</v>
      </c>
      <c r="D67" s="83">
        <f t="shared" si="21"/>
        <v>0.6545183855420479</v>
      </c>
      <c r="E67" s="77">
        <f t="shared" si="10"/>
        <v>4270.732465661862</v>
      </c>
      <c r="F67" s="81">
        <f t="shared" si="22"/>
        <v>0.9201379411565713</v>
      </c>
      <c r="G67" s="77">
        <f t="shared" si="11"/>
        <v>5578.3362682617135</v>
      </c>
      <c r="H67" s="82">
        <f t="shared" si="23"/>
        <v>45.93555060451042</v>
      </c>
      <c r="I67" s="77">
        <f t="shared" si="24"/>
        <v>5578.3362682617135</v>
      </c>
      <c r="J67" s="77">
        <f t="shared" si="12"/>
        <v>-25</v>
      </c>
      <c r="K67" s="77">
        <f t="shared" si="13"/>
        <v>5578.3362682617135</v>
      </c>
      <c r="L67" s="77">
        <f t="shared" si="25"/>
        <v>5578.3362682617135</v>
      </c>
      <c r="M67" s="37">
        <f t="shared" si="14"/>
        <v>-25</v>
      </c>
      <c r="N67" s="81">
        <f t="shared" si="26"/>
        <v>1.477455443789063</v>
      </c>
      <c r="O67" s="77">
        <f t="shared" si="15"/>
        <v>42.26704295912771</v>
      </c>
      <c r="P67" s="82">
        <f t="shared" si="16"/>
        <v>45.93555060451042</v>
      </c>
      <c r="Q67" s="77">
        <f t="shared" si="17"/>
        <v>49458.5567885609</v>
      </c>
      <c r="R67" s="77">
        <f t="shared" si="18"/>
        <v>4292.6848202719675</v>
      </c>
      <c r="S67" s="77">
        <f t="shared" si="30"/>
        <v>53751.24160883287</v>
      </c>
      <c r="T67" s="77">
        <f t="shared" si="19"/>
        <v>89714.33470332611</v>
      </c>
      <c r="U67" s="77">
        <f t="shared" si="20"/>
        <v>7786.627587783528</v>
      </c>
      <c r="V67" s="77">
        <f t="shared" si="27"/>
        <v>97500.96229110964</v>
      </c>
      <c r="W67" s="77"/>
      <c r="X67" s="77"/>
      <c r="Y67" s="77"/>
    </row>
    <row r="68" spans="1:25" s="71" customFormat="1" ht="12.75">
      <c r="A68" s="71">
        <f aca="true" t="shared" si="31" ref="A68:A74">+A67+1</f>
        <v>9</v>
      </c>
      <c r="C68" s="71">
        <f t="shared" si="29"/>
        <v>1</v>
      </c>
      <c r="D68" s="83">
        <f t="shared" si="21"/>
        <v>0.6966257350119196</v>
      </c>
      <c r="E68" s="77">
        <f t="shared" si="10"/>
        <v>4545.482920952775</v>
      </c>
      <c r="F68" s="81">
        <f t="shared" si="22"/>
        <v>0.9102004513920803</v>
      </c>
      <c r="G68" s="77">
        <f t="shared" si="11"/>
        <v>5518.090236564487</v>
      </c>
      <c r="H68" s="82">
        <f t="shared" si="23"/>
        <v>49.424522536798</v>
      </c>
      <c r="I68" s="77">
        <f t="shared" si="24"/>
        <v>5518.090236564487</v>
      </c>
      <c r="J68" s="77">
        <f t="shared" si="12"/>
        <v>-25</v>
      </c>
      <c r="K68" s="77">
        <f t="shared" si="13"/>
        <v>5518.090236564487</v>
      </c>
      <c r="L68" s="77">
        <f t="shared" si="25"/>
        <v>5518.090236564487</v>
      </c>
      <c r="M68" s="37">
        <f t="shared" si="14"/>
        <v>-25</v>
      </c>
      <c r="N68" s="81">
        <f t="shared" si="26"/>
        <v>1.5513282159785162</v>
      </c>
      <c r="O68" s="77">
        <f t="shared" si="15"/>
        <v>44.98622272283159</v>
      </c>
      <c r="P68" s="82">
        <f t="shared" si="16"/>
        <v>49.42452253679801</v>
      </c>
      <c r="Q68" s="77">
        <f t="shared" si="17"/>
        <v>55272.41013905623</v>
      </c>
      <c r="R68" s="77">
        <f t="shared" si="18"/>
        <v>5453.125708043614</v>
      </c>
      <c r="S68" s="77">
        <f aca="true" t="shared" si="32" ref="S68:S74">+Q68+R68</f>
        <v>60725.53584709984</v>
      </c>
      <c r="T68" s="77">
        <f t="shared" si="19"/>
        <v>95485.95690257341</v>
      </c>
      <c r="U68" s="77">
        <f t="shared" si="20"/>
        <v>9420.557653132557</v>
      </c>
      <c r="V68" s="77">
        <f t="shared" si="27"/>
        <v>104906.51455570597</v>
      </c>
      <c r="W68" s="77"/>
      <c r="X68" s="77"/>
      <c r="Y68" s="77"/>
    </row>
    <row r="69" spans="1:25" s="71" customFormat="1" ht="12.75">
      <c r="A69" s="71">
        <f t="shared" si="31"/>
        <v>10</v>
      </c>
      <c r="C69" s="71">
        <f t="shared" si="29"/>
        <v>2</v>
      </c>
      <c r="D69" s="83">
        <f t="shared" si="21"/>
        <v>0.7405131563176705</v>
      </c>
      <c r="E69" s="77">
        <f t="shared" si="10"/>
        <v>4831.848344972799</v>
      </c>
      <c r="F69" s="81">
        <f t="shared" si="22"/>
        <v>0.9002792664719066</v>
      </c>
      <c r="G69" s="77">
        <f t="shared" si="11"/>
        <v>5457.943052985934</v>
      </c>
      <c r="H69" s="82">
        <f t="shared" si="23"/>
        <v>53.11724543182314</v>
      </c>
      <c r="I69" s="77">
        <f t="shared" si="24"/>
        <v>5457.943052985934</v>
      </c>
      <c r="J69" s="77">
        <f t="shared" si="12"/>
        <v>-25</v>
      </c>
      <c r="K69" s="77">
        <f t="shared" si="13"/>
        <v>5457.943052985934</v>
      </c>
      <c r="L69" s="77">
        <f t="shared" si="25"/>
        <v>5457.943052985934</v>
      </c>
      <c r="M69" s="37">
        <f t="shared" si="14"/>
        <v>-25</v>
      </c>
      <c r="N69" s="81">
        <f t="shared" si="26"/>
        <v>1.628894626777442</v>
      </c>
      <c r="O69" s="77">
        <f t="shared" si="15"/>
        <v>47.82035475436997</v>
      </c>
      <c r="P69" s="82">
        <f t="shared" si="16"/>
        <v>53.11724543182314</v>
      </c>
      <c r="Q69" s="77">
        <f t="shared" si="17"/>
        <v>61692.30057670761</v>
      </c>
      <c r="R69" s="77">
        <f t="shared" si="18"/>
        <v>6833.4367963997465</v>
      </c>
      <c r="S69" s="77">
        <f t="shared" si="32"/>
        <v>68525.73737310736</v>
      </c>
      <c r="T69" s="77">
        <f t="shared" si="19"/>
        <v>101501.57218743554</v>
      </c>
      <c r="U69" s="77">
        <f t="shared" si="20"/>
        <v>11242.968276335001</v>
      </c>
      <c r="V69" s="77">
        <f t="shared" si="27"/>
        <v>112744.54046377054</v>
      </c>
      <c r="W69" s="77"/>
      <c r="X69" s="77"/>
      <c r="Y69" s="77"/>
    </row>
    <row r="70" spans="1:25" s="71" customFormat="1" ht="12.75">
      <c r="A70" s="71">
        <f t="shared" si="31"/>
        <v>11</v>
      </c>
      <c r="C70" s="71">
        <f t="shared" si="29"/>
        <v>3</v>
      </c>
      <c r="D70" s="83">
        <f t="shared" si="21"/>
        <v>0.7861781342905936</v>
      </c>
      <c r="E70" s="77">
        <f t="shared" si="10"/>
        <v>5129.812326246123</v>
      </c>
      <c r="F70" s="81">
        <f t="shared" si="22"/>
        <v>0.8903761945407156</v>
      </c>
      <c r="G70" s="77">
        <f t="shared" si="11"/>
        <v>5397.9056794030885</v>
      </c>
      <c r="H70" s="82">
        <f t="shared" si="23"/>
        <v>57.02002922155604</v>
      </c>
      <c r="I70" s="77">
        <f t="shared" si="24"/>
        <v>5397.9056794030885</v>
      </c>
      <c r="J70" s="77">
        <f t="shared" si="12"/>
        <v>-25</v>
      </c>
      <c r="K70" s="77">
        <f t="shared" si="13"/>
        <v>5397.9056794030885</v>
      </c>
      <c r="L70" s="77">
        <f t="shared" si="25"/>
        <v>5397.9056794030885</v>
      </c>
      <c r="M70" s="37">
        <f t="shared" si="14"/>
        <v>-25</v>
      </c>
      <c r="N70" s="81">
        <f t="shared" si="26"/>
        <v>1.7103393581163142</v>
      </c>
      <c r="O70" s="77">
        <f t="shared" si="15"/>
        <v>50.769276630889465</v>
      </c>
      <c r="P70" s="82">
        <f t="shared" si="16"/>
        <v>57.02002922155604</v>
      </c>
      <c r="Q70" s="77">
        <f t="shared" si="17"/>
        <v>68771.49206788483</v>
      </c>
      <c r="R70" s="77">
        <f t="shared" si="18"/>
        <v>8467.199273542325</v>
      </c>
      <c r="S70" s="77">
        <f t="shared" si="32"/>
        <v>77238.69134142715</v>
      </c>
      <c r="T70" s="77">
        <f t="shared" si="19"/>
        <v>107760.83580566075</v>
      </c>
      <c r="U70" s="77">
        <f t="shared" si="20"/>
        <v>13267.597418845238</v>
      </c>
      <c r="V70" s="77">
        <f t="shared" si="27"/>
        <v>121028.43322450599</v>
      </c>
      <c r="W70" s="77"/>
      <c r="X70" s="77"/>
      <c r="Y70" s="77"/>
    </row>
    <row r="71" spans="1:25" s="71" customFormat="1" ht="12.75">
      <c r="A71" s="71">
        <f t="shared" si="31"/>
        <v>12</v>
      </c>
      <c r="C71" s="71">
        <f t="shared" si="29"/>
        <v>4</v>
      </c>
      <c r="D71" s="83">
        <f t="shared" si="21"/>
        <v>0.8336108817261261</v>
      </c>
      <c r="E71" s="77">
        <f t="shared" si="10"/>
        <v>5439.311003262973</v>
      </c>
      <c r="F71" s="81">
        <f t="shared" si="22"/>
        <v>0.8804930187813137</v>
      </c>
      <c r="G71" s="77">
        <f t="shared" si="11"/>
        <v>5337.988926361714</v>
      </c>
      <c r="H71" s="82">
        <f t="shared" si="23"/>
        <v>61.13887921049306</v>
      </c>
      <c r="I71" s="77">
        <f t="shared" si="24"/>
        <v>5388.649964812344</v>
      </c>
      <c r="J71" s="77">
        <f t="shared" si="12"/>
        <v>-24.580875826201016</v>
      </c>
      <c r="K71" s="77">
        <f t="shared" si="13"/>
        <v>5448.313019395274</v>
      </c>
      <c r="L71" s="77">
        <f t="shared" si="25"/>
        <v>5400.582575728929</v>
      </c>
      <c r="M71" s="37">
        <f t="shared" si="14"/>
        <v>-24.679595588855555</v>
      </c>
      <c r="N71" s="81">
        <f t="shared" si="26"/>
        <v>1.79585632602213</v>
      </c>
      <c r="O71" s="77">
        <f t="shared" si="15"/>
        <v>53.83235632095314</v>
      </c>
      <c r="P71" s="82">
        <f t="shared" si="16"/>
        <v>61.13887921049306</v>
      </c>
      <c r="Q71" s="77">
        <f t="shared" si="17"/>
        <v>76566.7406937796</v>
      </c>
      <c r="R71" s="77">
        <f t="shared" si="18"/>
        <v>8772.351918792034</v>
      </c>
      <c r="S71" s="77">
        <f t="shared" si="32"/>
        <v>85339.09261257164</v>
      </c>
      <c r="T71" s="77">
        <f t="shared" si="19"/>
        <v>114262.40623260233</v>
      </c>
      <c r="U71" s="77">
        <f t="shared" si="20"/>
        <v>13091.193767397706</v>
      </c>
      <c r="V71" s="77">
        <f t="shared" si="27"/>
        <v>127353.60000000003</v>
      </c>
      <c r="W71" s="77"/>
      <c r="X71" s="77"/>
      <c r="Y71" s="77"/>
    </row>
    <row r="72" spans="1:25" s="71" customFormat="1" ht="12.75">
      <c r="A72" s="71">
        <f t="shared" si="31"/>
        <v>13</v>
      </c>
      <c r="C72" s="71">
        <f t="shared" si="29"/>
        <v>5</v>
      </c>
      <c r="D72" s="83">
        <f t="shared" si="21"/>
        <v>0.8827939237479675</v>
      </c>
      <c r="E72" s="77">
        <f t="shared" si="10"/>
        <v>5760.230352455488</v>
      </c>
      <c r="F72" s="81">
        <f t="shared" si="22"/>
        <v>0.870631496970963</v>
      </c>
      <c r="G72" s="77">
        <f t="shared" si="11"/>
        <v>5278.203450386463</v>
      </c>
      <c r="H72" s="82">
        <f t="shared" si="23"/>
        <v>65.47944284376227</v>
      </c>
      <c r="I72" s="77">
        <f t="shared" si="24"/>
        <v>5519.216901420976</v>
      </c>
      <c r="J72" s="77">
        <f t="shared" si="12"/>
        <v>-23.11715771194293</v>
      </c>
      <c r="K72" s="77">
        <f t="shared" si="13"/>
        <v>5762.2658117351675</v>
      </c>
      <c r="L72" s="77">
        <f t="shared" si="25"/>
        <v>5567.826683483814</v>
      </c>
      <c r="M72" s="37">
        <f t="shared" si="14"/>
        <v>-23.496906447493977</v>
      </c>
      <c r="N72" s="81">
        <f t="shared" si="26"/>
        <v>1.8856491423232367</v>
      </c>
      <c r="O72" s="77">
        <f t="shared" si="15"/>
        <v>57.00846534388936</v>
      </c>
      <c r="P72" s="82">
        <f t="shared" si="16"/>
        <v>65.47944284376227</v>
      </c>
      <c r="Q72" s="77">
        <f t="shared" si="17"/>
        <v>85138.38731444819</v>
      </c>
      <c r="R72" s="77">
        <f t="shared" si="18"/>
        <v>4467.659928752008</v>
      </c>
      <c r="S72" s="77">
        <f t="shared" si="32"/>
        <v>89606.0472432002</v>
      </c>
      <c r="T72" s="77">
        <f t="shared" si="19"/>
        <v>121003.8882003258</v>
      </c>
      <c r="U72" s="77">
        <f t="shared" si="20"/>
        <v>6349.711799674196</v>
      </c>
      <c r="V72" s="77">
        <f t="shared" si="27"/>
        <v>127353.6</v>
      </c>
      <c r="W72" s="77"/>
      <c r="X72" s="77"/>
      <c r="Y72" s="77"/>
    </row>
    <row r="73" spans="1:25" s="71" customFormat="1" ht="12.75">
      <c r="A73" s="71">
        <f t="shared" si="31"/>
        <v>14</v>
      </c>
      <c r="C73" s="71">
        <f t="shared" si="29"/>
        <v>6</v>
      </c>
      <c r="D73" s="83">
        <f t="shared" si="21"/>
        <v>0.9337017066841004</v>
      </c>
      <c r="E73" s="77">
        <f t="shared" si="10"/>
        <v>6092.403636113754</v>
      </c>
      <c r="F73" s="81">
        <f t="shared" si="22"/>
        <v>0.8607933610551911</v>
      </c>
      <c r="G73" s="77">
        <f t="shared" si="11"/>
        <v>5218.559751397096</v>
      </c>
      <c r="H73" s="82">
        <f t="shared" si="23"/>
        <v>70.04695463512954</v>
      </c>
      <c r="I73" s="77">
        <f t="shared" si="24"/>
        <v>5655.481693755425</v>
      </c>
      <c r="J73" s="77">
        <f t="shared" si="12"/>
        <v>-21.772786476329635</v>
      </c>
      <c r="K73" s="77">
        <f t="shared" si="13"/>
        <v>6029.536236883893</v>
      </c>
      <c r="L73" s="77">
        <f t="shared" si="25"/>
        <v>5730.292602381119</v>
      </c>
      <c r="M73" s="37">
        <f t="shared" si="14"/>
        <v>-22.32535834930942</v>
      </c>
      <c r="N73" s="81">
        <f t="shared" si="26"/>
        <v>1.9799315994393987</v>
      </c>
      <c r="O73" s="77">
        <f t="shared" si="15"/>
        <v>60</v>
      </c>
      <c r="P73" s="82">
        <f t="shared" si="16"/>
        <v>70.04695463512954</v>
      </c>
      <c r="Q73" s="77">
        <f t="shared" si="17"/>
        <v>94086.34960536023</v>
      </c>
      <c r="R73" s="77">
        <f t="shared" si="18"/>
        <v>0</v>
      </c>
      <c r="S73" s="77">
        <f t="shared" si="32"/>
        <v>94086.34960536023</v>
      </c>
      <c r="T73" s="77">
        <f t="shared" si="19"/>
        <v>127353.6</v>
      </c>
      <c r="U73" s="77">
        <f t="shared" si="20"/>
        <v>0</v>
      </c>
      <c r="V73" s="77">
        <f t="shared" si="27"/>
        <v>127353.6</v>
      </c>
      <c r="W73" s="77"/>
      <c r="X73" s="77"/>
      <c r="Y73" s="77"/>
    </row>
    <row r="74" spans="1:25" s="71" customFormat="1" ht="12.75">
      <c r="A74" s="71">
        <f t="shared" si="31"/>
        <v>15</v>
      </c>
      <c r="C74" s="71">
        <f t="shared" si="29"/>
        <v>7</v>
      </c>
      <c r="D74" s="83">
        <f t="shared" si="21"/>
        <v>0.986300236160638</v>
      </c>
      <c r="E74" s="77">
        <f t="shared" si="10"/>
        <v>6435.609040948162</v>
      </c>
      <c r="F74" s="81">
        <f t="shared" si="22"/>
        <v>0.850980316739162</v>
      </c>
      <c r="G74" s="77">
        <f t="shared" si="11"/>
        <v>5159.0681702311695</v>
      </c>
      <c r="H74" s="82">
        <f t="shared" si="23"/>
        <v>74.84617952617353</v>
      </c>
      <c r="I74" s="77">
        <f t="shared" si="24"/>
        <v>5797.338605589666</v>
      </c>
      <c r="J74" s="77">
        <f t="shared" si="12"/>
        <v>-20.536992783685214</v>
      </c>
      <c r="K74" s="77">
        <f t="shared" si="13"/>
        <v>6256.0720716591895</v>
      </c>
      <c r="L74" s="77">
        <f t="shared" si="25"/>
        <v>5889.085298803571</v>
      </c>
      <c r="M74" s="37">
        <f t="shared" si="14"/>
        <v>-21.17851733378707</v>
      </c>
      <c r="N74" s="81">
        <f t="shared" si="26"/>
        <v>2.0789281794113688</v>
      </c>
      <c r="O74" s="77">
        <f t="shared" si="15"/>
        <v>60</v>
      </c>
      <c r="P74" s="82">
        <f t="shared" si="16"/>
        <v>74.84617952617354</v>
      </c>
      <c r="Q74" s="77">
        <f t="shared" si="17"/>
        <v>98790.66708562824</v>
      </c>
      <c r="R74" s="77">
        <f t="shared" si="18"/>
        <v>0</v>
      </c>
      <c r="S74" s="77">
        <f t="shared" si="32"/>
        <v>98790.66708562824</v>
      </c>
      <c r="T74" s="77">
        <f t="shared" si="19"/>
        <v>127353.6</v>
      </c>
      <c r="U74" s="77">
        <f t="shared" si="20"/>
        <v>0</v>
      </c>
      <c r="V74" s="77">
        <f t="shared" si="27"/>
        <v>127353.6</v>
      </c>
      <c r="W74" s="77"/>
      <c r="X74" s="77"/>
      <c r="Y74" s="77"/>
    </row>
    <row r="75" spans="1:25" s="71" customFormat="1" ht="12.75">
      <c r="A75" s="71">
        <f aca="true" t="shared" si="33" ref="A75:A83">+A74+1</f>
        <v>16</v>
      </c>
      <c r="C75" s="71">
        <f t="shared" si="29"/>
        <v>0</v>
      </c>
      <c r="D75" s="83">
        <f t="shared" si="21"/>
        <v>1.040546749149473</v>
      </c>
      <c r="E75" s="77">
        <f t="shared" si="10"/>
        <v>6789.567538200312</v>
      </c>
      <c r="F75" s="81">
        <f t="shared" si="22"/>
        <v>0.8411940430966617</v>
      </c>
      <c r="G75" s="77">
        <f t="shared" si="11"/>
        <v>5099.7388862735115</v>
      </c>
      <c r="H75" s="82">
        <f t="shared" si="23"/>
        <v>79.8813549824108</v>
      </c>
      <c r="I75" s="77">
        <f t="shared" si="24"/>
        <v>5944.653212236912</v>
      </c>
      <c r="J75" s="77">
        <f t="shared" si="12"/>
        <v>-19.400063854666193</v>
      </c>
      <c r="K75" s="77">
        <f t="shared" si="13"/>
        <v>6446.980655435717</v>
      </c>
      <c r="L75" s="77">
        <f t="shared" si="25"/>
        <v>6045.118700876673</v>
      </c>
      <c r="M75" s="37">
        <f t="shared" si="14"/>
        <v>-20.065930563164628</v>
      </c>
      <c r="N75" s="81">
        <f t="shared" si="26"/>
        <v>2.1828745883819374</v>
      </c>
      <c r="O75" s="77">
        <f t="shared" si="15"/>
        <v>60</v>
      </c>
      <c r="P75" s="82">
        <f t="shared" si="16"/>
        <v>79.88135498241081</v>
      </c>
      <c r="Q75" s="77">
        <f t="shared" si="17"/>
        <v>103730.20043990966</v>
      </c>
      <c r="R75" s="77">
        <f t="shared" si="18"/>
        <v>0</v>
      </c>
      <c r="S75" s="77">
        <f aca="true" t="shared" si="34" ref="S75:S83">+Q75+R75</f>
        <v>103730.20043990966</v>
      </c>
      <c r="T75" s="77">
        <f t="shared" si="19"/>
        <v>127353.6</v>
      </c>
      <c r="U75" s="77">
        <f t="shared" si="20"/>
        <v>0</v>
      </c>
      <c r="V75" s="77">
        <f t="shared" si="27"/>
        <v>127353.6</v>
      </c>
      <c r="W75" s="77"/>
      <c r="X75" s="77"/>
      <c r="Y75" s="77"/>
    </row>
    <row r="76" spans="1:25" s="71" customFormat="1" ht="12.75">
      <c r="A76" s="71">
        <f t="shared" si="33"/>
        <v>17</v>
      </c>
      <c r="C76" s="71">
        <f t="shared" si="29"/>
        <v>1</v>
      </c>
      <c r="D76" s="83">
        <f t="shared" si="21"/>
        <v>1.0963894246871615</v>
      </c>
      <c r="E76" s="77">
        <f t="shared" si="10"/>
        <v>7153.940996083728</v>
      </c>
      <c r="F76" s="81">
        <f t="shared" si="22"/>
        <v>0.8314361921967404</v>
      </c>
      <c r="G76" s="77">
        <f t="shared" si="11"/>
        <v>5040.581915192738</v>
      </c>
      <c r="H76" s="82">
        <f t="shared" si="23"/>
        <v>85.15613216626218</v>
      </c>
      <c r="I76" s="77">
        <f t="shared" si="24"/>
        <v>6097.261455638233</v>
      </c>
      <c r="J76" s="77">
        <f t="shared" si="12"/>
        <v>-18.353232945857698</v>
      </c>
      <c r="K76" s="77">
        <f t="shared" si="13"/>
        <v>6606.659608525768</v>
      </c>
      <c r="L76" s="77">
        <f t="shared" si="25"/>
        <v>6199.14108621574</v>
      </c>
      <c r="M76" s="37">
        <f t="shared" si="14"/>
        <v>-18.994080190543883</v>
      </c>
      <c r="N76" s="81">
        <f t="shared" si="26"/>
        <v>2.2920183178010345</v>
      </c>
      <c r="O76" s="77">
        <f t="shared" si="15"/>
        <v>60</v>
      </c>
      <c r="P76" s="82">
        <f t="shared" si="16"/>
        <v>85.15613216626217</v>
      </c>
      <c r="Q76" s="77">
        <f t="shared" si="17"/>
        <v>108916.71046190515</v>
      </c>
      <c r="R76" s="77">
        <f t="shared" si="18"/>
        <v>0</v>
      </c>
      <c r="S76" s="77">
        <f t="shared" si="34"/>
        <v>108916.71046190515</v>
      </c>
      <c r="T76" s="77">
        <f t="shared" si="19"/>
        <v>127353.6</v>
      </c>
      <c r="U76" s="77">
        <f t="shared" si="20"/>
        <v>0</v>
      </c>
      <c r="V76" s="77">
        <f t="shared" si="27"/>
        <v>127353.6</v>
      </c>
      <c r="W76" s="77"/>
      <c r="X76" s="77"/>
      <c r="Y76" s="77"/>
    </row>
    <row r="77" spans="1:25" s="71" customFormat="1" ht="12.75">
      <c r="A77" s="71">
        <f t="shared" si="33"/>
        <v>18</v>
      </c>
      <c r="C77" s="71">
        <f t="shared" si="29"/>
        <v>2</v>
      </c>
      <c r="D77" s="83">
        <f t="shared" si="21"/>
        <v>1.1537671379124563</v>
      </c>
      <c r="E77" s="77">
        <f t="shared" si="10"/>
        <v>7528.330574878777</v>
      </c>
      <c r="F77" s="81">
        <f t="shared" si="22"/>
        <v>0.8217083887480384</v>
      </c>
      <c r="G77" s="77">
        <f t="shared" si="11"/>
        <v>4981.6071067849825</v>
      </c>
      <c r="H77" s="82">
        <f t="shared" si="23"/>
        <v>90.67351656004915</v>
      </c>
      <c r="I77" s="77">
        <f t="shared" si="24"/>
        <v>6254.96884083188</v>
      </c>
      <c r="J77" s="77">
        <f t="shared" si="12"/>
        <v>-17.388581045667877</v>
      </c>
      <c r="K77" s="77">
        <f t="shared" si="13"/>
        <v>6738.905633181874</v>
      </c>
      <c r="L77" s="77">
        <f t="shared" si="25"/>
        <v>6351.756199301878</v>
      </c>
      <c r="M77" s="37">
        <f t="shared" si="14"/>
        <v>-17.96711981835189</v>
      </c>
      <c r="N77" s="81">
        <f t="shared" si="26"/>
        <v>2.406619233691086</v>
      </c>
      <c r="O77" s="77">
        <f t="shared" si="15"/>
        <v>60</v>
      </c>
      <c r="P77" s="82">
        <f t="shared" si="16"/>
        <v>90.67351656004915</v>
      </c>
      <c r="Q77" s="77">
        <f t="shared" si="17"/>
        <v>114362.54598500041</v>
      </c>
      <c r="R77" s="77">
        <f t="shared" si="18"/>
        <v>0</v>
      </c>
      <c r="S77" s="77">
        <f t="shared" si="34"/>
        <v>114362.54598500041</v>
      </c>
      <c r="T77" s="77">
        <f t="shared" si="19"/>
        <v>127353.6</v>
      </c>
      <c r="U77" s="77">
        <f t="shared" si="20"/>
        <v>0</v>
      </c>
      <c r="V77" s="77">
        <f t="shared" si="27"/>
        <v>127353.6</v>
      </c>
      <c r="W77" s="77"/>
      <c r="X77" s="77"/>
      <c r="Y77" s="77"/>
    </row>
    <row r="78" spans="1:25" s="71" customFormat="1" ht="12.75">
      <c r="A78" s="71">
        <f t="shared" si="33"/>
        <v>19</v>
      </c>
      <c r="C78" s="71">
        <f t="shared" si="29"/>
        <v>3</v>
      </c>
      <c r="D78" s="83">
        <f t="shared" si="21"/>
        <v>1.2126092619459916</v>
      </c>
      <c r="E78" s="77">
        <f t="shared" si="10"/>
        <v>7912.275434197595</v>
      </c>
      <c r="F78" s="81">
        <f t="shared" si="22"/>
        <v>0.8120122297608116</v>
      </c>
      <c r="G78" s="77">
        <f t="shared" si="11"/>
        <v>4922.82414292492</v>
      </c>
      <c r="H78" s="82">
        <f t="shared" si="23"/>
        <v>96.43580844425384</v>
      </c>
      <c r="I78" s="77">
        <f t="shared" si="24"/>
        <v>6417.549788561258</v>
      </c>
      <c r="J78" s="77">
        <f t="shared" si="12"/>
        <v>-16.4989493713882</v>
      </c>
      <c r="K78" s="77">
        <f t="shared" si="13"/>
        <v>6847.005296818696</v>
      </c>
      <c r="L78" s="77">
        <f t="shared" si="25"/>
        <v>6503.440890212745</v>
      </c>
      <c r="M78" s="37">
        <f t="shared" si="14"/>
        <v>-16.987443434374377</v>
      </c>
      <c r="N78" s="81">
        <f t="shared" si="26"/>
        <v>2.5269501953756404</v>
      </c>
      <c r="O78" s="77">
        <f t="shared" si="15"/>
        <v>60</v>
      </c>
      <c r="P78" s="82">
        <f t="shared" si="16"/>
        <v>96.43580844425384</v>
      </c>
      <c r="Q78" s="77">
        <f t="shared" si="17"/>
        <v>120080.67328425043</v>
      </c>
      <c r="R78" s="77">
        <f t="shared" si="18"/>
        <v>0</v>
      </c>
      <c r="S78" s="77">
        <f t="shared" si="34"/>
        <v>120080.67328425043</v>
      </c>
      <c r="T78" s="77">
        <f t="shared" si="19"/>
        <v>127353.6</v>
      </c>
      <c r="U78" s="77">
        <f t="shared" si="20"/>
        <v>0</v>
      </c>
      <c r="V78" s="77">
        <f t="shared" si="27"/>
        <v>127353.6</v>
      </c>
      <c r="W78" s="77"/>
      <c r="X78" s="77"/>
      <c r="Y78" s="77"/>
    </row>
    <row r="79" spans="1:25" s="71" customFormat="1" ht="12.75">
      <c r="A79" s="71">
        <f t="shared" si="33"/>
        <v>20</v>
      </c>
      <c r="C79" s="71">
        <f t="shared" si="29"/>
        <v>4</v>
      </c>
      <c r="D79" s="83">
        <f t="shared" si="21"/>
        <v>1.272835521955976</v>
      </c>
      <c r="E79" s="77">
        <f t="shared" si="10"/>
        <v>8305.251780762743</v>
      </c>
      <c r="F79" s="81">
        <f t="shared" si="22"/>
        <v>0.8023492842266579</v>
      </c>
      <c r="G79" s="77">
        <f t="shared" si="11"/>
        <v>4864.242535624113</v>
      </c>
      <c r="H79" s="82">
        <f t="shared" si="23"/>
        <v>102.44454366661789</v>
      </c>
      <c r="I79" s="77">
        <f t="shared" si="24"/>
        <v>6584.747158193428</v>
      </c>
      <c r="J79" s="77">
        <f t="shared" si="12"/>
        <v>-15.677861423183877</v>
      </c>
      <c r="K79" s="77">
        <f t="shared" si="13"/>
        <v>6933.810969387826</v>
      </c>
      <c r="L79" s="77">
        <f t="shared" si="25"/>
        <v>6654.559920432308</v>
      </c>
      <c r="M79" s="37">
        <f t="shared" si="14"/>
        <v>-16.056125006718617</v>
      </c>
      <c r="N79" s="81">
        <f t="shared" si="26"/>
        <v>2.6532977051444226</v>
      </c>
      <c r="O79" s="77">
        <f t="shared" si="15"/>
        <v>60</v>
      </c>
      <c r="P79" s="82">
        <f t="shared" si="16"/>
        <v>102.44454366661789</v>
      </c>
      <c r="Q79" s="77">
        <f t="shared" si="17"/>
        <v>126084.70694846296</v>
      </c>
      <c r="R79" s="77">
        <f t="shared" si="18"/>
        <v>0</v>
      </c>
      <c r="S79" s="77">
        <f t="shared" si="34"/>
        <v>126084.70694846296</v>
      </c>
      <c r="T79" s="77">
        <f t="shared" si="19"/>
        <v>127353.6</v>
      </c>
      <c r="U79" s="77">
        <f t="shared" si="20"/>
        <v>0</v>
      </c>
      <c r="V79" s="77">
        <f t="shared" si="27"/>
        <v>127353.6</v>
      </c>
      <c r="W79" s="77"/>
      <c r="X79" s="77"/>
      <c r="Y79" s="77"/>
    </row>
    <row r="80" spans="1:25" s="71" customFormat="1" ht="12.75">
      <c r="A80" s="71">
        <f t="shared" si="33"/>
        <v>21</v>
      </c>
      <c r="C80" s="71">
        <f t="shared" si="29"/>
        <v>5</v>
      </c>
      <c r="D80" s="83">
        <f t="shared" si="21"/>
        <v>1.3343559055171814</v>
      </c>
      <c r="E80" s="77">
        <f t="shared" si="10"/>
        <v>8706.672283499609</v>
      </c>
      <c r="F80" s="81">
        <f t="shared" si="22"/>
        <v>0.7927210928159379</v>
      </c>
      <c r="G80" s="77">
        <f t="shared" si="11"/>
        <v>4805.871625196623</v>
      </c>
      <c r="H80" s="82">
        <f t="shared" si="23"/>
        <v>108.7004351658277</v>
      </c>
      <c r="I80" s="77">
        <f t="shared" si="24"/>
        <v>6756.271954348116</v>
      </c>
      <c r="J80" s="77">
        <f t="shared" si="12"/>
        <v>-14.919453500259777</v>
      </c>
      <c r="K80" s="77">
        <f t="shared" si="13"/>
        <v>7001.804500346472</v>
      </c>
      <c r="L80" s="77">
        <f t="shared" si="25"/>
        <v>6805.378463547788</v>
      </c>
      <c r="M80" s="37">
        <f t="shared" si="14"/>
        <v>-15.173258035681776</v>
      </c>
      <c r="N80" s="81">
        <f t="shared" si="26"/>
        <v>2.785962590401644</v>
      </c>
      <c r="O80" s="77">
        <f t="shared" si="15"/>
        <v>60</v>
      </c>
      <c r="P80" s="82">
        <f t="shared" si="16"/>
        <v>108.70043516582768</v>
      </c>
      <c r="Q80" s="77">
        <f t="shared" si="17"/>
        <v>132388.94229588614</v>
      </c>
      <c r="R80" s="77">
        <f t="shared" si="18"/>
        <v>0</v>
      </c>
      <c r="S80" s="77">
        <f t="shared" si="34"/>
        <v>132388.94229588614</v>
      </c>
      <c r="T80" s="77">
        <f t="shared" si="19"/>
        <v>127353.6</v>
      </c>
      <c r="U80" s="77">
        <f t="shared" si="20"/>
        <v>0</v>
      </c>
      <c r="V80" s="77">
        <f t="shared" si="27"/>
        <v>127353.6</v>
      </c>
      <c r="W80" s="77"/>
      <c r="X80" s="77"/>
      <c r="Y80" s="77"/>
    </row>
    <row r="81" spans="1:25" s="71" customFormat="1" ht="12.75">
      <c r="A81" s="71">
        <f t="shared" si="33"/>
        <v>22</v>
      </c>
      <c r="C81" s="71">
        <f t="shared" si="29"/>
        <v>6</v>
      </c>
      <c r="D81" s="83">
        <f t="shared" si="21"/>
        <v>1.3970706330764888</v>
      </c>
      <c r="E81" s="77">
        <f t="shared" si="10"/>
        <v>9115.88588082409</v>
      </c>
      <c r="F81" s="81">
        <f t="shared" si="22"/>
        <v>0.7831291675928651</v>
      </c>
      <c r="G81" s="77">
        <f t="shared" si="11"/>
        <v>4747.720578531745</v>
      </c>
      <c r="H81" s="82">
        <f t="shared" si="23"/>
        <v>115.20331573906424</v>
      </c>
      <c r="I81" s="77">
        <f t="shared" si="24"/>
        <v>6931.8032296779165</v>
      </c>
      <c r="J81" s="77">
        <f t="shared" si="12"/>
        <v>-14.218412715288096</v>
      </c>
      <c r="K81" s="77">
        <f t="shared" si="13"/>
        <v>7053.150747044009</v>
      </c>
      <c r="L81" s="77">
        <f t="shared" si="25"/>
        <v>6956.072733151135</v>
      </c>
      <c r="M81" s="37">
        <f t="shared" si="14"/>
        <v>-14.33821759992275</v>
      </c>
      <c r="N81" s="81">
        <f t="shared" si="26"/>
        <v>2.9252607199217264</v>
      </c>
      <c r="O81" s="77">
        <f t="shared" si="15"/>
        <v>60</v>
      </c>
      <c r="P81" s="82">
        <f t="shared" si="16"/>
        <v>115.20331573906425</v>
      </c>
      <c r="Q81" s="77">
        <f t="shared" si="17"/>
        <v>139008.38941068045</v>
      </c>
      <c r="R81" s="77">
        <f t="shared" si="18"/>
        <v>0</v>
      </c>
      <c r="S81" s="77">
        <f t="shared" si="34"/>
        <v>139008.38941068045</v>
      </c>
      <c r="T81" s="77">
        <f t="shared" si="19"/>
        <v>127353.6</v>
      </c>
      <c r="U81" s="77">
        <f t="shared" si="20"/>
        <v>0</v>
      </c>
      <c r="V81" s="77">
        <f t="shared" si="27"/>
        <v>127353.6</v>
      </c>
      <c r="W81" s="77"/>
      <c r="X81" s="77"/>
      <c r="Y81" s="77"/>
    </row>
    <row r="82" spans="1:25" s="71" customFormat="1" ht="12.75">
      <c r="A82" s="71">
        <f t="shared" si="33"/>
        <v>23</v>
      </c>
      <c r="C82" s="71">
        <f t="shared" si="29"/>
        <v>7</v>
      </c>
      <c r="D82" s="83">
        <f t="shared" si="21"/>
        <v>1.460870191986982</v>
      </c>
      <c r="E82" s="77">
        <f t="shared" si="10"/>
        <v>9532.178002715058</v>
      </c>
      <c r="F82" s="81">
        <f t="shared" si="22"/>
        <v>0.7735749917482322</v>
      </c>
      <c r="G82" s="77">
        <f t="shared" si="11"/>
        <v>4689.798387473657</v>
      </c>
      <c r="H82" s="82">
        <f t="shared" si="23"/>
        <v>121.95208256510921</v>
      </c>
      <c r="I82" s="77">
        <f t="shared" si="24"/>
        <v>7110.988195094358</v>
      </c>
      <c r="J82" s="77">
        <f t="shared" si="12"/>
        <v>-13.569921657789209</v>
      </c>
      <c r="K82" s="77">
        <f t="shared" si="13"/>
        <v>7089.74268314606</v>
      </c>
      <c r="L82" s="77">
        <f t="shared" si="25"/>
        <v>7106.739092704699</v>
      </c>
      <c r="M82" s="37">
        <f t="shared" si="14"/>
        <v>-13.549862274982871</v>
      </c>
      <c r="N82" s="81">
        <f t="shared" si="26"/>
        <v>3.071523755917813</v>
      </c>
      <c r="O82" s="77">
        <f t="shared" si="15"/>
        <v>60</v>
      </c>
      <c r="P82" s="82">
        <f t="shared" si="16"/>
        <v>121.95208256510921</v>
      </c>
      <c r="Q82" s="77">
        <f t="shared" si="17"/>
        <v>145958.80888121447</v>
      </c>
      <c r="R82" s="77">
        <f t="shared" si="18"/>
        <v>0</v>
      </c>
      <c r="S82" s="77">
        <f t="shared" si="34"/>
        <v>145958.80888121447</v>
      </c>
      <c r="T82" s="77">
        <f t="shared" si="19"/>
        <v>127353.6</v>
      </c>
      <c r="U82" s="77">
        <f t="shared" si="20"/>
        <v>0</v>
      </c>
      <c r="V82" s="77">
        <f t="shared" si="27"/>
        <v>127353.6</v>
      </c>
      <c r="W82" s="77"/>
      <c r="X82" s="77"/>
      <c r="Y82" s="77"/>
    </row>
    <row r="83" spans="1:25" s="71" customFormat="1" ht="12.75">
      <c r="A83" s="71">
        <f t="shared" si="33"/>
        <v>24</v>
      </c>
      <c r="C83" s="71">
        <f t="shared" si="29"/>
        <v>0</v>
      </c>
      <c r="D83" s="83">
        <f t="shared" si="21"/>
        <v>1.5256354371650716</v>
      </c>
      <c r="E83" s="77">
        <f t="shared" si="10"/>
        <v>9954.771227502093</v>
      </c>
      <c r="F83" s="81">
        <f t="shared" si="22"/>
        <v>0.764060019349729</v>
      </c>
      <c r="G83" s="77">
        <f t="shared" si="11"/>
        <v>4632.113867307732</v>
      </c>
      <c r="H83" s="82">
        <f t="shared" si="23"/>
        <v>128.94464401352877</v>
      </c>
      <c r="I83" s="77">
        <f t="shared" si="24"/>
        <v>7293.442547404913</v>
      </c>
      <c r="J83" s="77">
        <f t="shared" si="12"/>
        <v>-12.969608957610987</v>
      </c>
      <c r="K83" s="77">
        <f t="shared" si="13"/>
        <v>7113.239505061338</v>
      </c>
      <c r="L83" s="77">
        <f t="shared" si="25"/>
        <v>7257.401938936198</v>
      </c>
      <c r="M83" s="37">
        <f t="shared" si="14"/>
        <v>-12.80668935413366</v>
      </c>
      <c r="N83" s="81">
        <f t="shared" si="26"/>
        <v>3.225099943713704</v>
      </c>
      <c r="O83" s="77">
        <f t="shared" si="15"/>
        <v>60</v>
      </c>
      <c r="P83" s="82">
        <f t="shared" si="16"/>
        <v>128.94464401352877</v>
      </c>
      <c r="Q83" s="77">
        <f t="shared" si="17"/>
        <v>153256.74932527522</v>
      </c>
      <c r="R83" s="77">
        <f t="shared" si="18"/>
        <v>0</v>
      </c>
      <c r="S83" s="77">
        <f t="shared" si="34"/>
        <v>153256.74932527522</v>
      </c>
      <c r="T83" s="77">
        <f t="shared" si="19"/>
        <v>127353.6</v>
      </c>
      <c r="U83" s="77">
        <f t="shared" si="20"/>
        <v>0</v>
      </c>
      <c r="V83" s="77">
        <f t="shared" si="27"/>
        <v>127353.6</v>
      </c>
      <c r="W83" s="77"/>
      <c r="X83" s="77"/>
      <c r="Y83" s="77"/>
    </row>
    <row r="84" spans="4:25" s="71" customFormat="1" ht="12.75">
      <c r="D84" s="83"/>
      <c r="E84" s="77"/>
      <c r="F84" s="81"/>
      <c r="G84" s="77"/>
      <c r="H84" s="82"/>
      <c r="I84" s="77"/>
      <c r="J84" s="77"/>
      <c r="K84" s="77"/>
      <c r="L84" s="77"/>
      <c r="M84" s="37"/>
      <c r="N84" s="81"/>
      <c r="O84" s="77"/>
      <c r="P84" s="82"/>
      <c r="Q84" s="77"/>
      <c r="R84" s="77"/>
      <c r="S84" s="77"/>
      <c r="T84" s="77"/>
      <c r="U84" s="77"/>
      <c r="V84" s="77"/>
      <c r="W84" s="77"/>
      <c r="X84" s="77"/>
      <c r="Y84" s="77"/>
    </row>
    <row r="85" spans="4:25" s="71" customFormat="1" ht="12.75">
      <c r="D85" s="83"/>
      <c r="E85" s="77"/>
      <c r="F85" s="81"/>
      <c r="G85" s="77"/>
      <c r="H85" s="82"/>
      <c r="I85" s="77"/>
      <c r="J85" s="77"/>
      <c r="K85" s="77"/>
      <c r="L85" s="77"/>
      <c r="M85" s="37"/>
      <c r="N85" s="81"/>
      <c r="O85" s="77" t="s">
        <v>67</v>
      </c>
      <c r="P85" s="82">
        <f>+F10+59</f>
        <v>71</v>
      </c>
      <c r="Q85" s="77" t="str">
        <f>CONCATENATE("S",P85)</f>
        <v>S71</v>
      </c>
      <c r="R85" s="77" t="s">
        <v>94</v>
      </c>
      <c r="S85" s="77">
        <f ca="1">SUM(S59,INDIRECT(Q85))</f>
        <v>104774.28271566442</v>
      </c>
      <c r="T85" s="77" t="str">
        <f>CONCATENATE("V",P85)</f>
        <v>V71</v>
      </c>
      <c r="U85" s="77"/>
      <c r="V85" s="77">
        <f ca="1">SUM(V59:INDIRECT(T85))</f>
        <v>1124084.4532868012</v>
      </c>
      <c r="W85" s="77"/>
      <c r="X85" s="77"/>
      <c r="Y85" s="77"/>
    </row>
    <row r="86" spans="3:25" s="71" customFormat="1" ht="12.75">
      <c r="C86" s="71" t="s">
        <v>145</v>
      </c>
      <c r="D86" s="83"/>
      <c r="E86" s="77"/>
      <c r="F86" s="81"/>
      <c r="G86" s="77"/>
      <c r="H86" s="82"/>
      <c r="I86" s="77"/>
      <c r="J86" s="77"/>
      <c r="K86" s="77"/>
      <c r="L86" s="77"/>
      <c r="M86" s="37"/>
      <c r="N86" s="81"/>
      <c r="O86" s="77"/>
      <c r="P86" s="82"/>
      <c r="Q86" s="77"/>
      <c r="R86" s="77"/>
      <c r="S86" s="77"/>
      <c r="T86" s="77"/>
      <c r="U86" s="77"/>
      <c r="V86" s="77"/>
      <c r="W86" s="77"/>
      <c r="X86" s="77"/>
      <c r="Y86" s="77"/>
    </row>
    <row r="87" spans="2:25" s="71" customFormat="1" ht="12.75">
      <c r="B87" s="84" t="s">
        <v>15</v>
      </c>
      <c r="C87" s="85" t="s">
        <v>109</v>
      </c>
      <c r="D87" s="85"/>
      <c r="E87" s="86"/>
      <c r="F87" s="73" t="s">
        <v>6</v>
      </c>
      <c r="G87" s="75"/>
      <c r="H87" s="76"/>
      <c r="I87" s="77" t="s">
        <v>16</v>
      </c>
      <c r="J87" s="77" t="s">
        <v>19</v>
      </c>
      <c r="K87" s="77" t="s">
        <v>17</v>
      </c>
      <c r="L87" s="77" t="s">
        <v>18</v>
      </c>
      <c r="M87" s="37" t="s">
        <v>20</v>
      </c>
      <c r="N87" s="71" t="s">
        <v>71</v>
      </c>
      <c r="O87" s="71" t="s">
        <v>13</v>
      </c>
      <c r="P87" s="77" t="s">
        <v>14</v>
      </c>
      <c r="Q87" s="71" t="s">
        <v>9</v>
      </c>
      <c r="R87" s="77" t="s">
        <v>6</v>
      </c>
      <c r="S87" s="71" t="s">
        <v>10</v>
      </c>
      <c r="T87" s="77" t="s">
        <v>9</v>
      </c>
      <c r="U87" s="77" t="s">
        <v>6</v>
      </c>
      <c r="V87" s="77" t="s">
        <v>10</v>
      </c>
      <c r="W87" s="77"/>
      <c r="X87" s="77"/>
      <c r="Y87" s="77"/>
    </row>
    <row r="88" spans="2:22" s="71" customFormat="1" ht="12.75">
      <c r="B88" s="78" t="s">
        <v>36</v>
      </c>
      <c r="C88" s="79" t="s">
        <v>36</v>
      </c>
      <c r="D88" s="79" t="s">
        <v>0</v>
      </c>
      <c r="E88" s="80" t="s">
        <v>2</v>
      </c>
      <c r="F88" s="73" t="s">
        <v>3</v>
      </c>
      <c r="G88" s="75" t="s">
        <v>2</v>
      </c>
      <c r="H88" s="76" t="s">
        <v>4</v>
      </c>
      <c r="I88" s="77" t="s">
        <v>2</v>
      </c>
      <c r="J88" s="77" t="s">
        <v>1</v>
      </c>
      <c r="K88" s="77" t="s">
        <v>2</v>
      </c>
      <c r="L88" s="77" t="s">
        <v>2</v>
      </c>
      <c r="M88" s="37" t="s">
        <v>1</v>
      </c>
      <c r="O88" s="71" t="s">
        <v>4</v>
      </c>
      <c r="P88" s="77"/>
      <c r="Q88" s="71" t="s">
        <v>8</v>
      </c>
      <c r="R88" s="77" t="s">
        <v>8</v>
      </c>
      <c r="T88" s="71" t="s">
        <v>11</v>
      </c>
      <c r="U88" s="71" t="s">
        <v>11</v>
      </c>
      <c r="V88" s="71" t="s">
        <v>11</v>
      </c>
    </row>
    <row r="89" spans="5:25" s="71" customFormat="1" ht="12.75">
      <c r="E89" s="81"/>
      <c r="G89" s="77"/>
      <c r="H89" s="82"/>
      <c r="I89" s="77"/>
      <c r="J89" s="77"/>
      <c r="K89" s="77"/>
      <c r="L89" s="77"/>
      <c r="M89" s="37"/>
      <c r="P89" s="77"/>
      <c r="R89" s="77"/>
      <c r="U89" s="77"/>
      <c r="V89" s="77"/>
      <c r="W89" s="77"/>
      <c r="X89" s="77"/>
      <c r="Y89" s="77"/>
    </row>
    <row r="90" spans="1:25" s="71" customFormat="1" ht="12.75">
      <c r="A90" s="71">
        <v>0</v>
      </c>
      <c r="B90" s="71">
        <v>0</v>
      </c>
      <c r="C90" s="71">
        <v>0</v>
      </c>
      <c r="D90" s="83">
        <f>IF(B90=0,$F$12,D90*(1+($F$13-B90/$F$13)/100))</f>
        <v>0.38</v>
      </c>
      <c r="E90" s="77">
        <f aca="true" t="shared" si="35" ref="E90:E114">+$F$11*D90*($F$17-$K$17)</f>
        <v>2479.5</v>
      </c>
      <c r="F90" s="81">
        <v>1</v>
      </c>
      <c r="G90" s="77">
        <f aca="true" t="shared" si="36" ref="G90:G114">F90*($S$11*$K$17^2+$S$10*$K$17+$S$9)</f>
        <v>6062.5</v>
      </c>
      <c r="H90" s="82">
        <f>+E90/G90*60</f>
        <v>24.539381443298968</v>
      </c>
      <c r="I90" s="77">
        <f>IF(G90&lt;E90,+(G90+E90)/2,G90)</f>
        <v>6062.5</v>
      </c>
      <c r="J90" s="77">
        <f aca="true" t="shared" si="37" ref="J90:J114">IF(I90&lt;E90,+$F$17-I90/(D90*$F$11),$K$17)</f>
        <v>-25</v>
      </c>
      <c r="K90" s="77">
        <f aca="true" t="shared" si="38" ref="K90:K114">+F90*($S$11*J90^2+$S$10*J90+$S$9)</f>
        <v>6062.5</v>
      </c>
      <c r="L90" s="77">
        <f>IF(I90&lt;E90,+(K90+4*I90)/5,I90)</f>
        <v>6062.5</v>
      </c>
      <c r="M90" s="37">
        <f aca="true" t="shared" si="39" ref="M90:M114">IF(L90&lt;E90,+$F$17-L90/(D90*$F$11),$K$17)</f>
        <v>-25</v>
      </c>
      <c r="N90" s="81">
        <f>+$O$11</f>
        <v>1</v>
      </c>
      <c r="O90" s="77">
        <f aca="true" t="shared" si="40" ref="O90:O114">IF(+E90/($S$11*$K$17^2+$S$10*$K$17+$S$9)*60&lt;60,+E90/($S$11*$K$17^2+$S$10*$K$17+$S$9)*60,60)</f>
        <v>24.539381443298968</v>
      </c>
      <c r="P90" s="82">
        <f aca="true" t="shared" si="41" ref="P90:P114">+E90/($S$11*$K$17^2+$S$10*$K$17+$S$9)/F90*60</f>
        <v>24.539381443298968</v>
      </c>
      <c r="Q90" s="77">
        <f aca="true" t="shared" si="42" ref="Q90:Q114">+O90*24/60*$F$16*$K$11*N90</f>
        <v>19435.190103092784</v>
      </c>
      <c r="R90" s="77">
        <f aca="true" t="shared" si="43" ref="R90:R114">IF(P90&gt;60,+(60-O90)*24/60*$F$16*$K$11*N90,+(P90-O90)*24/60*$F$16*$K$11*N90)</f>
        <v>0</v>
      </c>
      <c r="S90" s="77">
        <f>+Q90+R90</f>
        <v>19435.190103092784</v>
      </c>
      <c r="T90" s="77">
        <f aca="true" t="shared" si="44" ref="T90:T114">+O90*24/60*$F$16*$K$11*$K$12</f>
        <v>52086.30947628866</v>
      </c>
      <c r="U90" s="77">
        <f aca="true" t="shared" si="45" ref="U90:U114">IF(P90&gt;60,+(60-O90)*24/60*$F$16*$K$11*$K$12,+(P90-O90)*24/60*$F$16*$K$11*$K$12)</f>
        <v>0</v>
      </c>
      <c r="V90" s="77">
        <f>+T90+U90</f>
        <v>52086.30947628866</v>
      </c>
      <c r="W90" s="77"/>
      <c r="X90" s="77"/>
      <c r="Y90" s="77"/>
    </row>
    <row r="91" spans="1:25" s="71" customFormat="1" ht="12.75">
      <c r="A91" s="71">
        <f aca="true" t="shared" si="46" ref="A91:A114">+A90+1</f>
        <v>1</v>
      </c>
      <c r="B91" s="71">
        <f>IF(B90+1&lt;$F$22,B90+1,0)</f>
        <v>1</v>
      </c>
      <c r="C91" s="71">
        <f>IF(C90+1&lt;$F$27,C90+1,0)</f>
        <v>1</v>
      </c>
      <c r="D91" s="83">
        <f aca="true" t="shared" si="47" ref="D91:D114">IF(B91=0,$F$12,D90*(1+($F$13-B90/$F$13)/100))</f>
        <v>0.4085</v>
      </c>
      <c r="E91" s="77">
        <f t="shared" si="35"/>
        <v>2665.4624999999996</v>
      </c>
      <c r="F91" s="81">
        <f aca="true" t="shared" si="48" ref="F91:F114">IF(C91=0,1,F90*(1-($K$13+C90/100)/100))</f>
        <v>0.99</v>
      </c>
      <c r="G91" s="77">
        <f t="shared" si="36"/>
        <v>6001.875</v>
      </c>
      <c r="H91" s="82">
        <f aca="true" t="shared" si="49" ref="H91:H114">+E91/G91*60</f>
        <v>26.64629803186504</v>
      </c>
      <c r="I91" s="77">
        <f aca="true" t="shared" si="50" ref="I91:I114">IF(G91&lt;E91,+(G91+E91)/2,G91)</f>
        <v>6001.875</v>
      </c>
      <c r="J91" s="77">
        <f t="shared" si="37"/>
        <v>-25</v>
      </c>
      <c r="K91" s="77">
        <f t="shared" si="38"/>
        <v>6001.875</v>
      </c>
      <c r="L91" s="77">
        <f aca="true" t="shared" si="51" ref="L91:L114">IF(I91&lt;E91,+(K91+4*I91)/5,I91)</f>
        <v>6001.875</v>
      </c>
      <c r="M91" s="37">
        <f t="shared" si="39"/>
        <v>-25</v>
      </c>
      <c r="N91" s="81">
        <f aca="true" t="shared" si="52" ref="N91:N114">+N90*(1+$R$12)</f>
        <v>1.05</v>
      </c>
      <c r="O91" s="77">
        <f t="shared" si="40"/>
        <v>26.37983505154639</v>
      </c>
      <c r="P91" s="82">
        <f t="shared" si="41"/>
        <v>26.64629803186504</v>
      </c>
      <c r="Q91" s="77">
        <f t="shared" si="42"/>
        <v>21937.470828865975</v>
      </c>
      <c r="R91" s="77">
        <f t="shared" si="43"/>
        <v>221.59061443298936</v>
      </c>
      <c r="S91" s="77">
        <f>+Q91+R91</f>
        <v>22159.061443298964</v>
      </c>
      <c r="T91" s="77">
        <f t="shared" si="44"/>
        <v>55992.782687010294</v>
      </c>
      <c r="U91" s="77">
        <f t="shared" si="45"/>
        <v>565.5836635051538</v>
      </c>
      <c r="V91" s="77">
        <f aca="true" t="shared" si="53" ref="V91:V114">+T91+U91</f>
        <v>56558.36635051545</v>
      </c>
      <c r="W91" s="77"/>
      <c r="X91" s="77"/>
      <c r="Y91" s="77"/>
    </row>
    <row r="92" spans="1:25" s="71" customFormat="1" ht="12.75">
      <c r="A92" s="71">
        <f t="shared" si="46"/>
        <v>2</v>
      </c>
      <c r="B92" s="71">
        <f aca="true" t="shared" si="54" ref="B92:B114">IF(B91+1&lt;$F$22,B91+1,0)</f>
        <v>2</v>
      </c>
      <c r="C92" s="71">
        <f aca="true" t="shared" si="55" ref="C92:C114">IF(C91+1&lt;$F$27,C91+1,0)</f>
        <v>2</v>
      </c>
      <c r="D92" s="83">
        <f t="shared" si="47"/>
        <v>0.43859283333333327</v>
      </c>
      <c r="E92" s="77">
        <f t="shared" si="35"/>
        <v>2861.8182374999997</v>
      </c>
      <c r="F92" s="81">
        <f t="shared" si="48"/>
        <v>0.980001</v>
      </c>
      <c r="G92" s="77">
        <f t="shared" si="36"/>
        <v>5941.2560625</v>
      </c>
      <c r="H92" s="82">
        <f t="shared" si="49"/>
        <v>28.901143536598745</v>
      </c>
      <c r="I92" s="77">
        <f t="shared" si="50"/>
        <v>5941.2560625</v>
      </c>
      <c r="J92" s="77">
        <f t="shared" si="37"/>
        <v>-25</v>
      </c>
      <c r="K92" s="77">
        <f t="shared" si="38"/>
        <v>5941.2560625</v>
      </c>
      <c r="L92" s="77">
        <f t="shared" si="51"/>
        <v>5941.2560625</v>
      </c>
      <c r="M92" s="37">
        <f t="shared" si="39"/>
        <v>-25</v>
      </c>
      <c r="N92" s="81">
        <f t="shared" si="52"/>
        <v>1.1025</v>
      </c>
      <c r="O92" s="77">
        <f t="shared" si="40"/>
        <v>28.323149567010304</v>
      </c>
      <c r="P92" s="82">
        <f t="shared" si="41"/>
        <v>28.901143536598745</v>
      </c>
      <c r="Q92" s="77">
        <f t="shared" si="42"/>
        <v>24731.20773892206</v>
      </c>
      <c r="R92" s="77">
        <f t="shared" si="43"/>
        <v>504.6927743652348</v>
      </c>
      <c r="S92" s="77">
        <f aca="true" t="shared" si="56" ref="S92:S114">+Q92+R92</f>
        <v>25235.900513287295</v>
      </c>
      <c r="T92" s="77">
        <f t="shared" si="44"/>
        <v>60117.5843449534</v>
      </c>
      <c r="U92" s="77">
        <f t="shared" si="45"/>
        <v>1226.826880089641</v>
      </c>
      <c r="V92" s="77">
        <f t="shared" si="53"/>
        <v>61344.41122504304</v>
      </c>
      <c r="W92" s="77"/>
      <c r="X92" s="77"/>
      <c r="Y92" s="77"/>
    </row>
    <row r="93" spans="1:25" s="71" customFormat="1" ht="12.75">
      <c r="A93" s="71">
        <f t="shared" si="46"/>
        <v>3</v>
      </c>
      <c r="B93" s="71">
        <f t="shared" si="54"/>
        <v>3</v>
      </c>
      <c r="C93" s="71">
        <f t="shared" si="55"/>
        <v>3</v>
      </c>
      <c r="D93" s="83">
        <f t="shared" si="47"/>
        <v>0.4703177149444444</v>
      </c>
      <c r="E93" s="77">
        <f t="shared" si="35"/>
        <v>3068.8230900125</v>
      </c>
      <c r="F93" s="81">
        <f t="shared" si="48"/>
        <v>0.9700049898</v>
      </c>
      <c r="G93" s="77">
        <f t="shared" si="36"/>
        <v>5880.6552506625</v>
      </c>
      <c r="H93" s="82">
        <f t="shared" si="49"/>
        <v>31.311032113301735</v>
      </c>
      <c r="I93" s="77">
        <f t="shared" si="50"/>
        <v>5880.6552506625</v>
      </c>
      <c r="J93" s="77">
        <f t="shared" si="37"/>
        <v>-25</v>
      </c>
      <c r="K93" s="77">
        <f t="shared" si="38"/>
        <v>5880.6552506625</v>
      </c>
      <c r="L93" s="77">
        <f t="shared" si="51"/>
        <v>5880.6552506625</v>
      </c>
      <c r="M93" s="37">
        <f t="shared" si="39"/>
        <v>-25</v>
      </c>
      <c r="N93" s="81">
        <f t="shared" si="52"/>
        <v>1.1576250000000001</v>
      </c>
      <c r="O93" s="77">
        <f t="shared" si="40"/>
        <v>30.371857385690724</v>
      </c>
      <c r="P93" s="82">
        <f t="shared" si="41"/>
        <v>31.311032113301735</v>
      </c>
      <c r="Q93" s="77">
        <f t="shared" si="42"/>
        <v>27846.103353639297</v>
      </c>
      <c r="R93" s="77">
        <f t="shared" si="43"/>
        <v>861.0720180881518</v>
      </c>
      <c r="S93" s="77">
        <f t="shared" si="56"/>
        <v>28707.175371727448</v>
      </c>
      <c r="T93" s="77">
        <f t="shared" si="44"/>
        <v>64466.089612571704</v>
      </c>
      <c r="U93" s="77">
        <f t="shared" si="45"/>
        <v>1993.4547098380276</v>
      </c>
      <c r="V93" s="77">
        <f t="shared" si="53"/>
        <v>66459.54432240973</v>
      </c>
      <c r="W93" s="77"/>
      <c r="X93" s="77"/>
      <c r="Y93" s="77"/>
    </row>
    <row r="94" spans="1:25" s="71" customFormat="1" ht="12.75">
      <c r="A94" s="71">
        <f t="shared" si="46"/>
        <v>4</v>
      </c>
      <c r="B94" s="71">
        <f t="shared" si="54"/>
        <v>4</v>
      </c>
      <c r="C94" s="71">
        <f t="shared" si="55"/>
        <v>4</v>
      </c>
      <c r="D94" s="83">
        <f t="shared" si="47"/>
        <v>0.5037102727055</v>
      </c>
      <c r="E94" s="77">
        <f t="shared" si="35"/>
        <v>3286.7095294033875</v>
      </c>
      <c r="F94" s="81">
        <f t="shared" si="48"/>
        <v>0.9600139384050601</v>
      </c>
      <c r="G94" s="77">
        <f t="shared" si="36"/>
        <v>5820.084501580677</v>
      </c>
      <c r="H94" s="82">
        <f t="shared" si="49"/>
        <v>33.883111441190415</v>
      </c>
      <c r="I94" s="77">
        <f t="shared" si="50"/>
        <v>5820.084501580677</v>
      </c>
      <c r="J94" s="77">
        <f t="shared" si="37"/>
        <v>-25</v>
      </c>
      <c r="K94" s="77">
        <f t="shared" si="38"/>
        <v>5820.084501580677</v>
      </c>
      <c r="L94" s="77">
        <f t="shared" si="51"/>
        <v>5820.084501580677</v>
      </c>
      <c r="M94" s="37">
        <f t="shared" si="39"/>
        <v>-25</v>
      </c>
      <c r="N94" s="81">
        <f t="shared" si="52"/>
        <v>1.2155062500000002</v>
      </c>
      <c r="O94" s="77">
        <f t="shared" si="40"/>
        <v>32.52825926007476</v>
      </c>
      <c r="P94" s="82">
        <f t="shared" si="41"/>
        <v>33.883111441190415</v>
      </c>
      <c r="Q94" s="77">
        <f t="shared" si="42"/>
        <v>31314.335526335075</v>
      </c>
      <c r="R94" s="77">
        <f t="shared" si="43"/>
        <v>1304.2903848259893</v>
      </c>
      <c r="S94" s="77">
        <f t="shared" si="56"/>
        <v>32618.625911161063</v>
      </c>
      <c r="T94" s="77">
        <f t="shared" si="44"/>
        <v>69043.18197506429</v>
      </c>
      <c r="U94" s="77">
        <f t="shared" si="45"/>
        <v>2875.7550455488413</v>
      </c>
      <c r="V94" s="77">
        <f t="shared" si="53"/>
        <v>71918.93702061313</v>
      </c>
      <c r="W94" s="77"/>
      <c r="X94" s="77"/>
      <c r="Y94" s="77"/>
    </row>
    <row r="95" spans="1:25" s="71" customFormat="1" ht="12.75">
      <c r="A95" s="71">
        <f t="shared" si="46"/>
        <v>5</v>
      </c>
      <c r="B95" s="71">
        <f t="shared" si="54"/>
        <v>5</v>
      </c>
      <c r="C95" s="71">
        <f t="shared" si="55"/>
        <v>5</v>
      </c>
      <c r="D95" s="83">
        <f t="shared" si="47"/>
        <v>0.5388020883706498</v>
      </c>
      <c r="E95" s="77">
        <f t="shared" si="35"/>
        <v>3515.6836266184896</v>
      </c>
      <c r="F95" s="81">
        <f t="shared" si="48"/>
        <v>0.9500297934456475</v>
      </c>
      <c r="G95" s="77">
        <f t="shared" si="36"/>
        <v>5759.555622764238</v>
      </c>
      <c r="H95" s="82">
        <f t="shared" si="49"/>
        <v>36.62452998342092</v>
      </c>
      <c r="I95" s="77">
        <f t="shared" si="50"/>
        <v>5759.555622764238</v>
      </c>
      <c r="J95" s="77">
        <f t="shared" si="37"/>
        <v>-25</v>
      </c>
      <c r="K95" s="77">
        <f t="shared" si="38"/>
        <v>5759.555622764238</v>
      </c>
      <c r="L95" s="77">
        <f t="shared" si="51"/>
        <v>5759.555622764238</v>
      </c>
      <c r="M95" s="37">
        <f t="shared" si="39"/>
        <v>-25</v>
      </c>
      <c r="N95" s="81">
        <f t="shared" si="52"/>
        <v>1.2762815625000004</v>
      </c>
      <c r="O95" s="77">
        <f t="shared" si="40"/>
        <v>34.794394655193294</v>
      </c>
      <c r="P95" s="82">
        <f t="shared" si="41"/>
        <v>36.62452998342091</v>
      </c>
      <c r="Q95" s="77">
        <f t="shared" si="42"/>
        <v>35170.69594640323</v>
      </c>
      <c r="R95" s="77">
        <f t="shared" si="43"/>
        <v>1849.9282372270632</v>
      </c>
      <c r="S95" s="77">
        <f t="shared" si="56"/>
        <v>37020.624183630294</v>
      </c>
      <c r="T95" s="77">
        <f t="shared" si="44"/>
        <v>73853.19031932708</v>
      </c>
      <c r="U95" s="77">
        <f t="shared" si="45"/>
        <v>3884.572042282816</v>
      </c>
      <c r="V95" s="77">
        <f t="shared" si="53"/>
        <v>77737.7623616099</v>
      </c>
      <c r="W95" s="77"/>
      <c r="X95" s="77"/>
      <c r="Y95" s="77"/>
    </row>
    <row r="96" spans="1:25" s="71" customFormat="1" ht="12.75">
      <c r="A96" s="71">
        <f t="shared" si="46"/>
        <v>6</v>
      </c>
      <c r="B96" s="71">
        <f t="shared" si="54"/>
        <v>6</v>
      </c>
      <c r="C96" s="71">
        <f t="shared" si="55"/>
        <v>6</v>
      </c>
      <c r="D96" s="83">
        <f t="shared" si="47"/>
        <v>0.5756202310759776</v>
      </c>
      <c r="E96" s="77">
        <f t="shared" si="35"/>
        <v>3755.9220077707537</v>
      </c>
      <c r="F96" s="81">
        <f t="shared" si="48"/>
        <v>0.9400544806144683</v>
      </c>
      <c r="G96" s="77">
        <f t="shared" si="36"/>
        <v>5699.080288725214</v>
      </c>
      <c r="H96" s="82">
        <f t="shared" si="49"/>
        <v>39.54240141379958</v>
      </c>
      <c r="I96" s="77">
        <f t="shared" si="50"/>
        <v>5699.080288725214</v>
      </c>
      <c r="J96" s="77">
        <f t="shared" si="37"/>
        <v>-25</v>
      </c>
      <c r="K96" s="77">
        <f t="shared" si="38"/>
        <v>5699.080288725214</v>
      </c>
      <c r="L96" s="77">
        <f t="shared" si="51"/>
        <v>5699.080288725214</v>
      </c>
      <c r="M96" s="37">
        <f t="shared" si="39"/>
        <v>-25</v>
      </c>
      <c r="N96" s="81">
        <f t="shared" si="52"/>
        <v>1.3400956406250004</v>
      </c>
      <c r="O96" s="77">
        <f t="shared" si="40"/>
        <v>37.17201162329818</v>
      </c>
      <c r="P96" s="82">
        <f t="shared" si="41"/>
        <v>39.54240141379958</v>
      </c>
      <c r="Q96" s="77">
        <f t="shared" si="42"/>
        <v>39452.72817787785</v>
      </c>
      <c r="R96" s="77">
        <f t="shared" si="43"/>
        <v>2515.826827667682</v>
      </c>
      <c r="S96" s="77">
        <f t="shared" si="56"/>
        <v>41968.55500554553</v>
      </c>
      <c r="T96" s="77">
        <f t="shared" si="44"/>
        <v>78899.8249911478</v>
      </c>
      <c r="U96" s="77">
        <f t="shared" si="45"/>
        <v>5031.294553726649</v>
      </c>
      <c r="V96" s="77">
        <f t="shared" si="53"/>
        <v>83931.11954487445</v>
      </c>
      <c r="W96" s="77"/>
      <c r="X96" s="77"/>
      <c r="Y96" s="77"/>
    </row>
    <row r="97" spans="1:25" s="71" customFormat="1" ht="12.75">
      <c r="A97" s="71">
        <f t="shared" si="46"/>
        <v>7</v>
      </c>
      <c r="B97" s="71">
        <f t="shared" si="54"/>
        <v>7</v>
      </c>
      <c r="C97" s="71">
        <f t="shared" si="55"/>
        <v>7</v>
      </c>
      <c r="D97" s="83">
        <f t="shared" si="47"/>
        <v>0.614186786558068</v>
      </c>
      <c r="E97" s="77">
        <f t="shared" si="35"/>
        <v>4007.568782291394</v>
      </c>
      <c r="F97" s="81">
        <f t="shared" si="48"/>
        <v>0.9300899031199549</v>
      </c>
      <c r="G97" s="77">
        <f t="shared" si="36"/>
        <v>5638.670037664727</v>
      </c>
      <c r="H97" s="82">
        <f t="shared" si="49"/>
        <v>42.643766230568176</v>
      </c>
      <c r="I97" s="77">
        <f t="shared" si="50"/>
        <v>5638.670037664727</v>
      </c>
      <c r="J97" s="77">
        <f t="shared" si="37"/>
        <v>-25</v>
      </c>
      <c r="K97" s="77">
        <f t="shared" si="38"/>
        <v>5638.670037664727</v>
      </c>
      <c r="L97" s="77">
        <f t="shared" si="51"/>
        <v>5638.670037664727</v>
      </c>
      <c r="M97" s="37">
        <f t="shared" si="39"/>
        <v>-25</v>
      </c>
      <c r="N97" s="81">
        <f t="shared" si="52"/>
        <v>1.4071004226562505</v>
      </c>
      <c r="O97" s="77">
        <f t="shared" si="40"/>
        <v>39.66253640205916</v>
      </c>
      <c r="P97" s="82">
        <f t="shared" si="41"/>
        <v>42.643766230568176</v>
      </c>
      <c r="Q97" s="77">
        <f t="shared" si="42"/>
        <v>44200.86401408544</v>
      </c>
      <c r="R97" s="77">
        <f t="shared" si="43"/>
        <v>3322.3526833705214</v>
      </c>
      <c r="S97" s="77">
        <f t="shared" si="56"/>
        <v>47523.21669745596</v>
      </c>
      <c r="T97" s="77">
        <f t="shared" si="44"/>
        <v>84186.1132655547</v>
      </c>
      <c r="U97" s="77">
        <f t="shared" si="45"/>
        <v>6327.839184800096</v>
      </c>
      <c r="V97" s="77">
        <f t="shared" si="53"/>
        <v>90513.95245035479</v>
      </c>
      <c r="W97" s="77"/>
      <c r="X97" s="77"/>
      <c r="Y97" s="77"/>
    </row>
    <row r="98" spans="1:25" s="71" customFormat="1" ht="12.75">
      <c r="A98" s="71">
        <f t="shared" si="46"/>
        <v>8</v>
      </c>
      <c r="B98" s="71">
        <f t="shared" si="54"/>
        <v>0</v>
      </c>
      <c r="C98" s="71">
        <f t="shared" si="55"/>
        <v>8</v>
      </c>
      <c r="D98" s="83">
        <f t="shared" si="47"/>
        <v>0.38</v>
      </c>
      <c r="E98" s="77">
        <f t="shared" si="35"/>
        <v>2479.5</v>
      </c>
      <c r="F98" s="81">
        <f t="shared" si="48"/>
        <v>0.9201379411565713</v>
      </c>
      <c r="G98" s="77">
        <f t="shared" si="36"/>
        <v>5578.3362682617135</v>
      </c>
      <c r="H98" s="82">
        <f t="shared" si="49"/>
        <v>26.66924201870655</v>
      </c>
      <c r="I98" s="77">
        <f t="shared" si="50"/>
        <v>5578.3362682617135</v>
      </c>
      <c r="J98" s="77">
        <f t="shared" si="37"/>
        <v>-25</v>
      </c>
      <c r="K98" s="77">
        <f t="shared" si="38"/>
        <v>5578.3362682617135</v>
      </c>
      <c r="L98" s="77">
        <f t="shared" si="51"/>
        <v>5578.3362682617135</v>
      </c>
      <c r="M98" s="37">
        <f t="shared" si="39"/>
        <v>-25</v>
      </c>
      <c r="N98" s="81">
        <f t="shared" si="52"/>
        <v>1.477455443789063</v>
      </c>
      <c r="O98" s="77">
        <f t="shared" si="40"/>
        <v>24.539381443298968</v>
      </c>
      <c r="P98" s="82">
        <f t="shared" si="41"/>
        <v>26.66924201870655</v>
      </c>
      <c r="Q98" s="77">
        <f t="shared" si="42"/>
        <v>28714.627418889755</v>
      </c>
      <c r="R98" s="77">
        <f t="shared" si="43"/>
        <v>2492.245088504931</v>
      </c>
      <c r="S98" s="77">
        <f t="shared" si="56"/>
        <v>31206.872507394684</v>
      </c>
      <c r="T98" s="77">
        <f t="shared" si="44"/>
        <v>52086.30947628866</v>
      </c>
      <c r="U98" s="77">
        <f t="shared" si="45"/>
        <v>4520.756862937121</v>
      </c>
      <c r="V98" s="77">
        <f t="shared" si="53"/>
        <v>56607.066339225785</v>
      </c>
      <c r="W98" s="77"/>
      <c r="X98" s="77"/>
      <c r="Y98" s="77"/>
    </row>
    <row r="99" spans="1:25" s="71" customFormat="1" ht="12.75">
      <c r="A99" s="71">
        <f t="shared" si="46"/>
        <v>9</v>
      </c>
      <c r="B99" s="71">
        <f t="shared" si="54"/>
        <v>1</v>
      </c>
      <c r="C99" s="71">
        <f t="shared" si="55"/>
        <v>9</v>
      </c>
      <c r="D99" s="83">
        <f t="shared" si="47"/>
        <v>0.4085</v>
      </c>
      <c r="E99" s="77">
        <f t="shared" si="35"/>
        <v>2665.4624999999996</v>
      </c>
      <c r="F99" s="81">
        <f t="shared" si="48"/>
        <v>0.9102004513920803</v>
      </c>
      <c r="G99" s="77">
        <f t="shared" si="36"/>
        <v>5518.090236564487</v>
      </c>
      <c r="H99" s="82">
        <f t="shared" si="49"/>
        <v>28.982445582399453</v>
      </c>
      <c r="I99" s="77">
        <f t="shared" si="50"/>
        <v>5518.090236564487</v>
      </c>
      <c r="J99" s="77">
        <f t="shared" si="37"/>
        <v>-25</v>
      </c>
      <c r="K99" s="77">
        <f t="shared" si="38"/>
        <v>5518.090236564487</v>
      </c>
      <c r="L99" s="77">
        <f t="shared" si="51"/>
        <v>5518.090236564487</v>
      </c>
      <c r="M99" s="37">
        <f t="shared" si="39"/>
        <v>-25</v>
      </c>
      <c r="N99" s="81">
        <f t="shared" si="52"/>
        <v>1.5513282159785162</v>
      </c>
      <c r="O99" s="77">
        <f t="shared" si="40"/>
        <v>26.37983505154639</v>
      </c>
      <c r="P99" s="82">
        <f t="shared" si="41"/>
        <v>28.982445582399457</v>
      </c>
      <c r="Q99" s="77">
        <f t="shared" si="42"/>
        <v>32411.6356990718</v>
      </c>
      <c r="R99" s="77">
        <f t="shared" si="43"/>
        <v>3197.702496158428</v>
      </c>
      <c r="S99" s="77">
        <f t="shared" si="56"/>
        <v>35609.33819523023</v>
      </c>
      <c r="T99" s="77">
        <f t="shared" si="44"/>
        <v>55992.782687010294</v>
      </c>
      <c r="U99" s="77">
        <f t="shared" si="45"/>
        <v>5524.197008367485</v>
      </c>
      <c r="V99" s="77">
        <f t="shared" si="53"/>
        <v>61516.97969537778</v>
      </c>
      <c r="W99" s="77"/>
      <c r="X99" s="77"/>
      <c r="Y99" s="77"/>
    </row>
    <row r="100" spans="1:25" s="71" customFormat="1" ht="12.75">
      <c r="A100" s="71">
        <f t="shared" si="46"/>
        <v>10</v>
      </c>
      <c r="B100" s="71">
        <f t="shared" si="54"/>
        <v>2</v>
      </c>
      <c r="C100" s="71">
        <f t="shared" si="55"/>
        <v>10</v>
      </c>
      <c r="D100" s="83">
        <f t="shared" si="47"/>
        <v>0.43859283333333327</v>
      </c>
      <c r="E100" s="77">
        <f t="shared" si="35"/>
        <v>2861.8182374999997</v>
      </c>
      <c r="F100" s="81">
        <f t="shared" si="48"/>
        <v>0.9002792664719066</v>
      </c>
      <c r="G100" s="77">
        <f t="shared" si="36"/>
        <v>5457.943052985934</v>
      </c>
      <c r="H100" s="82">
        <f t="shared" si="49"/>
        <v>31.460404145488713</v>
      </c>
      <c r="I100" s="77">
        <f t="shared" si="50"/>
        <v>5457.943052985934</v>
      </c>
      <c r="J100" s="77">
        <f t="shared" si="37"/>
        <v>-25</v>
      </c>
      <c r="K100" s="77">
        <f t="shared" si="38"/>
        <v>5457.943052985934</v>
      </c>
      <c r="L100" s="77">
        <f t="shared" si="51"/>
        <v>5457.943052985934</v>
      </c>
      <c r="M100" s="37">
        <f t="shared" si="39"/>
        <v>-25</v>
      </c>
      <c r="N100" s="81">
        <f t="shared" si="52"/>
        <v>1.628894626777442</v>
      </c>
      <c r="O100" s="77">
        <f t="shared" si="40"/>
        <v>28.323149567010304</v>
      </c>
      <c r="P100" s="82">
        <f t="shared" si="41"/>
        <v>31.460404145488706</v>
      </c>
      <c r="Q100" s="77">
        <f t="shared" si="42"/>
        <v>36539.2575053486</v>
      </c>
      <c r="R100" s="77">
        <f t="shared" si="43"/>
        <v>4047.3236435673866</v>
      </c>
      <c r="S100" s="77">
        <f t="shared" si="56"/>
        <v>40586.58114891599</v>
      </c>
      <c r="T100" s="77">
        <f t="shared" si="44"/>
        <v>60117.5843449534</v>
      </c>
      <c r="U100" s="77">
        <f t="shared" si="45"/>
        <v>6659.011078095116</v>
      </c>
      <c r="V100" s="77">
        <f t="shared" si="53"/>
        <v>66776.59542304852</v>
      </c>
      <c r="W100" s="77"/>
      <c r="X100" s="77"/>
      <c r="Y100" s="77"/>
    </row>
    <row r="101" spans="1:25" s="71" customFormat="1" ht="12.75">
      <c r="A101" s="71">
        <f t="shared" si="46"/>
        <v>11</v>
      </c>
      <c r="B101" s="71">
        <f t="shared" si="54"/>
        <v>3</v>
      </c>
      <c r="C101" s="71">
        <f t="shared" si="55"/>
        <v>11</v>
      </c>
      <c r="D101" s="83">
        <f t="shared" si="47"/>
        <v>0.4703177149444444</v>
      </c>
      <c r="E101" s="77">
        <f t="shared" si="35"/>
        <v>3068.8230900125</v>
      </c>
      <c r="F101" s="81">
        <f t="shared" si="48"/>
        <v>0.8903761945407156</v>
      </c>
      <c r="G101" s="77">
        <f t="shared" si="36"/>
        <v>5397.9056794030885</v>
      </c>
      <c r="H101" s="82">
        <f t="shared" si="49"/>
        <v>34.11126394878234</v>
      </c>
      <c r="I101" s="77">
        <f t="shared" si="50"/>
        <v>5397.9056794030885</v>
      </c>
      <c r="J101" s="77">
        <f t="shared" si="37"/>
        <v>-25</v>
      </c>
      <c r="K101" s="77">
        <f t="shared" si="38"/>
        <v>5397.9056794030885</v>
      </c>
      <c r="L101" s="77">
        <f t="shared" si="51"/>
        <v>5397.9056794030885</v>
      </c>
      <c r="M101" s="37">
        <f t="shared" si="39"/>
        <v>-25</v>
      </c>
      <c r="N101" s="81">
        <f t="shared" si="52"/>
        <v>1.7103393581163142</v>
      </c>
      <c r="O101" s="77">
        <f t="shared" si="40"/>
        <v>30.371857385690724</v>
      </c>
      <c r="P101" s="82">
        <f t="shared" si="41"/>
        <v>34.11126394878234</v>
      </c>
      <c r="Q101" s="77">
        <f t="shared" si="42"/>
        <v>41141.37698814726</v>
      </c>
      <c r="R101" s="77">
        <f t="shared" si="43"/>
        <v>5065.3581429164005</v>
      </c>
      <c r="S101" s="77">
        <f t="shared" si="56"/>
        <v>46206.73513106366</v>
      </c>
      <c r="T101" s="77">
        <f t="shared" si="44"/>
        <v>64466.089612571704</v>
      </c>
      <c r="U101" s="77">
        <f t="shared" si="45"/>
        <v>7937.114794555734</v>
      </c>
      <c r="V101" s="77">
        <f t="shared" si="53"/>
        <v>72403.20440712744</v>
      </c>
      <c r="W101" s="77"/>
      <c r="X101" s="77"/>
      <c r="Y101" s="77"/>
    </row>
    <row r="102" spans="1:25" s="71" customFormat="1" ht="12.75">
      <c r="A102" s="71">
        <f t="shared" si="46"/>
        <v>12</v>
      </c>
      <c r="B102" s="71">
        <f t="shared" si="54"/>
        <v>4</v>
      </c>
      <c r="C102" s="71">
        <f t="shared" si="55"/>
        <v>0</v>
      </c>
      <c r="D102" s="83">
        <f t="shared" si="47"/>
        <v>0.5037102727055</v>
      </c>
      <c r="E102" s="77">
        <f t="shared" si="35"/>
        <v>3286.7095294033875</v>
      </c>
      <c r="F102" s="81">
        <f t="shared" si="48"/>
        <v>1</v>
      </c>
      <c r="G102" s="77">
        <f t="shared" si="36"/>
        <v>6062.5</v>
      </c>
      <c r="H102" s="82">
        <f t="shared" si="49"/>
        <v>32.52825926007476</v>
      </c>
      <c r="I102" s="77">
        <f t="shared" si="50"/>
        <v>6062.5</v>
      </c>
      <c r="J102" s="77">
        <f t="shared" si="37"/>
        <v>-25</v>
      </c>
      <c r="K102" s="77">
        <f t="shared" si="38"/>
        <v>6062.5</v>
      </c>
      <c r="L102" s="77">
        <f t="shared" si="51"/>
        <v>6062.5</v>
      </c>
      <c r="M102" s="37">
        <f t="shared" si="39"/>
        <v>-25</v>
      </c>
      <c r="N102" s="81">
        <f t="shared" si="52"/>
        <v>1.79585632602213</v>
      </c>
      <c r="O102" s="77">
        <f t="shared" si="40"/>
        <v>32.52825926007476</v>
      </c>
      <c r="P102" s="82">
        <f t="shared" si="41"/>
        <v>32.52825926007476</v>
      </c>
      <c r="Q102" s="77">
        <f t="shared" si="42"/>
        <v>46265.53549202101</v>
      </c>
      <c r="R102" s="77">
        <f t="shared" si="43"/>
        <v>0</v>
      </c>
      <c r="S102" s="77">
        <f t="shared" si="56"/>
        <v>46265.53549202101</v>
      </c>
      <c r="T102" s="77">
        <f t="shared" si="44"/>
        <v>69043.18197506429</v>
      </c>
      <c r="U102" s="77">
        <f t="shared" si="45"/>
        <v>0</v>
      </c>
      <c r="V102" s="77">
        <f t="shared" si="53"/>
        <v>69043.18197506429</v>
      </c>
      <c r="W102" s="77"/>
      <c r="X102" s="77"/>
      <c r="Y102" s="77"/>
    </row>
    <row r="103" spans="1:25" s="71" customFormat="1" ht="12.75">
      <c r="A103" s="71">
        <f t="shared" si="46"/>
        <v>13</v>
      </c>
      <c r="B103" s="71">
        <f t="shared" si="54"/>
        <v>5</v>
      </c>
      <c r="C103" s="71">
        <f t="shared" si="55"/>
        <v>1</v>
      </c>
      <c r="D103" s="83">
        <f t="shared" si="47"/>
        <v>0.5388020883706498</v>
      </c>
      <c r="E103" s="77">
        <f t="shared" si="35"/>
        <v>3515.6836266184896</v>
      </c>
      <c r="F103" s="81">
        <f t="shared" si="48"/>
        <v>0.99</v>
      </c>
      <c r="G103" s="77">
        <f t="shared" si="36"/>
        <v>6001.875</v>
      </c>
      <c r="H103" s="82">
        <f t="shared" si="49"/>
        <v>35.145853187063935</v>
      </c>
      <c r="I103" s="77">
        <f t="shared" si="50"/>
        <v>6001.875</v>
      </c>
      <c r="J103" s="77">
        <f t="shared" si="37"/>
        <v>-25</v>
      </c>
      <c r="K103" s="77">
        <f t="shared" si="38"/>
        <v>6001.875</v>
      </c>
      <c r="L103" s="77">
        <f t="shared" si="51"/>
        <v>6001.875</v>
      </c>
      <c r="M103" s="37">
        <f t="shared" si="39"/>
        <v>-25</v>
      </c>
      <c r="N103" s="81">
        <f t="shared" si="52"/>
        <v>1.8856491423232367</v>
      </c>
      <c r="O103" s="77">
        <f t="shared" si="40"/>
        <v>34.794394655193294</v>
      </c>
      <c r="P103" s="82">
        <f t="shared" si="41"/>
        <v>35.145853187063935</v>
      </c>
      <c r="Q103" s="77">
        <f t="shared" si="42"/>
        <v>51963.13618786339</v>
      </c>
      <c r="R103" s="77">
        <f t="shared" si="43"/>
        <v>524.8801635137739</v>
      </c>
      <c r="S103" s="77">
        <f t="shared" si="56"/>
        <v>52488.01635137716</v>
      </c>
      <c r="T103" s="77">
        <f t="shared" si="44"/>
        <v>73853.19031932708</v>
      </c>
      <c r="U103" s="77">
        <f t="shared" si="45"/>
        <v>745.9918214073476</v>
      </c>
      <c r="V103" s="77">
        <f t="shared" si="53"/>
        <v>74599.18214073443</v>
      </c>
      <c r="W103" s="77"/>
      <c r="X103" s="77"/>
      <c r="Y103" s="77"/>
    </row>
    <row r="104" spans="1:25" s="71" customFormat="1" ht="12.75">
      <c r="A104" s="71">
        <f t="shared" si="46"/>
        <v>14</v>
      </c>
      <c r="B104" s="71">
        <f t="shared" si="54"/>
        <v>6</v>
      </c>
      <c r="C104" s="71">
        <f t="shared" si="55"/>
        <v>2</v>
      </c>
      <c r="D104" s="83">
        <f t="shared" si="47"/>
        <v>0.5756202310759776</v>
      </c>
      <c r="E104" s="77">
        <f t="shared" si="35"/>
        <v>3755.9220077707537</v>
      </c>
      <c r="F104" s="81">
        <f t="shared" si="48"/>
        <v>0.980001</v>
      </c>
      <c r="G104" s="77">
        <f t="shared" si="36"/>
        <v>5941.2560625</v>
      </c>
      <c r="H104" s="82">
        <f t="shared" si="49"/>
        <v>37.930585400727324</v>
      </c>
      <c r="I104" s="77">
        <f t="shared" si="50"/>
        <v>5941.2560625</v>
      </c>
      <c r="J104" s="77">
        <f t="shared" si="37"/>
        <v>-25</v>
      </c>
      <c r="K104" s="77">
        <f t="shared" si="38"/>
        <v>5941.2560625</v>
      </c>
      <c r="L104" s="77">
        <f t="shared" si="51"/>
        <v>5941.2560625</v>
      </c>
      <c r="M104" s="37">
        <f t="shared" si="39"/>
        <v>-25</v>
      </c>
      <c r="N104" s="81">
        <f t="shared" si="52"/>
        <v>1.9799315994393987</v>
      </c>
      <c r="O104" s="77">
        <f t="shared" si="40"/>
        <v>37.17201162329818</v>
      </c>
      <c r="P104" s="82">
        <f t="shared" si="41"/>
        <v>37.930585400727324</v>
      </c>
      <c r="Q104" s="77">
        <f t="shared" si="42"/>
        <v>58289.64801873579</v>
      </c>
      <c r="R104" s="77">
        <f t="shared" si="43"/>
        <v>1189.5239604109488</v>
      </c>
      <c r="S104" s="77">
        <f t="shared" si="56"/>
        <v>59479.17197914674</v>
      </c>
      <c r="T104" s="77">
        <f t="shared" si="44"/>
        <v>78899.8249911478</v>
      </c>
      <c r="U104" s="77">
        <f t="shared" si="45"/>
        <v>1610.118357019999</v>
      </c>
      <c r="V104" s="77">
        <f t="shared" si="53"/>
        <v>80509.9433481678</v>
      </c>
      <c r="W104" s="77"/>
      <c r="X104" s="77"/>
      <c r="Y104" s="77"/>
    </row>
    <row r="105" spans="1:25" s="71" customFormat="1" ht="12.75">
      <c r="A105" s="71">
        <f t="shared" si="46"/>
        <v>15</v>
      </c>
      <c r="B105" s="71">
        <f t="shared" si="54"/>
        <v>7</v>
      </c>
      <c r="C105" s="71">
        <f t="shared" si="55"/>
        <v>3</v>
      </c>
      <c r="D105" s="83">
        <f t="shared" si="47"/>
        <v>0.614186786558068</v>
      </c>
      <c r="E105" s="77">
        <f t="shared" si="35"/>
        <v>4007.568782291394</v>
      </c>
      <c r="F105" s="81">
        <f t="shared" si="48"/>
        <v>0.9700049898</v>
      </c>
      <c r="G105" s="77">
        <f t="shared" si="36"/>
        <v>5880.6552506625</v>
      </c>
      <c r="H105" s="82">
        <f t="shared" si="49"/>
        <v>40.889002447540975</v>
      </c>
      <c r="I105" s="77">
        <f t="shared" si="50"/>
        <v>5880.6552506625</v>
      </c>
      <c r="J105" s="77">
        <f t="shared" si="37"/>
        <v>-25</v>
      </c>
      <c r="K105" s="77">
        <f t="shared" si="38"/>
        <v>5880.6552506625</v>
      </c>
      <c r="L105" s="77">
        <f t="shared" si="51"/>
        <v>5880.6552506625</v>
      </c>
      <c r="M105" s="37">
        <f t="shared" si="39"/>
        <v>-25</v>
      </c>
      <c r="N105" s="81">
        <f t="shared" si="52"/>
        <v>2.0789281794113688</v>
      </c>
      <c r="O105" s="77">
        <f t="shared" si="40"/>
        <v>39.66253640205916</v>
      </c>
      <c r="P105" s="82">
        <f t="shared" si="41"/>
        <v>40.889002447540975</v>
      </c>
      <c r="Q105" s="77">
        <f t="shared" si="42"/>
        <v>65304.80715779063</v>
      </c>
      <c r="R105" s="77">
        <f t="shared" si="43"/>
        <v>2019.3899798503483</v>
      </c>
      <c r="S105" s="77">
        <f t="shared" si="56"/>
        <v>67324.19713764098</v>
      </c>
      <c r="T105" s="77">
        <f t="shared" si="44"/>
        <v>84186.1132655547</v>
      </c>
      <c r="U105" s="77">
        <f t="shared" si="45"/>
        <v>2603.2477694978797</v>
      </c>
      <c r="V105" s="77">
        <f t="shared" si="53"/>
        <v>86789.36103505257</v>
      </c>
      <c r="W105" s="77"/>
      <c r="X105" s="77"/>
      <c r="Y105" s="77"/>
    </row>
    <row r="106" spans="1:25" s="71" customFormat="1" ht="12.75">
      <c r="A106" s="71">
        <f t="shared" si="46"/>
        <v>16</v>
      </c>
      <c r="B106" s="71">
        <f t="shared" si="54"/>
        <v>0</v>
      </c>
      <c r="C106" s="71">
        <f t="shared" si="55"/>
        <v>4</v>
      </c>
      <c r="D106" s="83">
        <f t="shared" si="47"/>
        <v>0.38</v>
      </c>
      <c r="E106" s="77">
        <f t="shared" si="35"/>
        <v>2479.5</v>
      </c>
      <c r="F106" s="81">
        <f t="shared" si="48"/>
        <v>0.9600139384050601</v>
      </c>
      <c r="G106" s="77">
        <f t="shared" si="36"/>
        <v>5820.084501580677</v>
      </c>
      <c r="H106" s="82">
        <f t="shared" si="49"/>
        <v>25.561484538514097</v>
      </c>
      <c r="I106" s="77">
        <f t="shared" si="50"/>
        <v>5820.084501580677</v>
      </c>
      <c r="J106" s="77">
        <f t="shared" si="37"/>
        <v>-25</v>
      </c>
      <c r="K106" s="77">
        <f t="shared" si="38"/>
        <v>5820.084501580677</v>
      </c>
      <c r="L106" s="77">
        <f t="shared" si="51"/>
        <v>5820.084501580677</v>
      </c>
      <c r="M106" s="37">
        <f t="shared" si="39"/>
        <v>-25</v>
      </c>
      <c r="N106" s="81">
        <f t="shared" si="52"/>
        <v>2.1828745883819374</v>
      </c>
      <c r="O106" s="77">
        <f t="shared" si="40"/>
        <v>24.539381443298968</v>
      </c>
      <c r="P106" s="82">
        <f t="shared" si="41"/>
        <v>25.561484538514097</v>
      </c>
      <c r="Q106" s="77">
        <f t="shared" si="42"/>
        <v>42424.58259641336</v>
      </c>
      <c r="R106" s="77">
        <f t="shared" si="43"/>
        <v>1767.049315615291</v>
      </c>
      <c r="S106" s="77">
        <f t="shared" si="56"/>
        <v>44191.63191202865</v>
      </c>
      <c r="T106" s="77">
        <f t="shared" si="44"/>
        <v>52086.30947628866</v>
      </c>
      <c r="U106" s="77">
        <f t="shared" si="45"/>
        <v>2169.4751457798257</v>
      </c>
      <c r="V106" s="77">
        <f t="shared" si="53"/>
        <v>54255.78462206849</v>
      </c>
      <c r="W106" s="77"/>
      <c r="X106" s="77"/>
      <c r="Y106" s="77"/>
    </row>
    <row r="107" spans="1:25" s="71" customFormat="1" ht="12.75">
      <c r="A107" s="71">
        <f t="shared" si="46"/>
        <v>17</v>
      </c>
      <c r="B107" s="71">
        <f t="shared" si="54"/>
        <v>1</v>
      </c>
      <c r="C107" s="71">
        <f t="shared" si="55"/>
        <v>5</v>
      </c>
      <c r="D107" s="83">
        <f t="shared" si="47"/>
        <v>0.4085</v>
      </c>
      <c r="E107" s="77">
        <f t="shared" si="35"/>
        <v>2665.4624999999996</v>
      </c>
      <c r="F107" s="81">
        <f t="shared" si="48"/>
        <v>0.9500297934456475</v>
      </c>
      <c r="G107" s="77">
        <f t="shared" si="36"/>
        <v>5759.555622764238</v>
      </c>
      <c r="H107" s="82">
        <f t="shared" si="49"/>
        <v>27.767376595495804</v>
      </c>
      <c r="I107" s="77">
        <f t="shared" si="50"/>
        <v>5759.555622764238</v>
      </c>
      <c r="J107" s="77">
        <f t="shared" si="37"/>
        <v>-25</v>
      </c>
      <c r="K107" s="77">
        <f t="shared" si="38"/>
        <v>5759.555622764238</v>
      </c>
      <c r="L107" s="77">
        <f t="shared" si="51"/>
        <v>5759.555622764238</v>
      </c>
      <c r="M107" s="37">
        <f t="shared" si="39"/>
        <v>-25</v>
      </c>
      <c r="N107" s="81">
        <f t="shared" si="52"/>
        <v>2.2920183178010345</v>
      </c>
      <c r="O107" s="77">
        <f t="shared" si="40"/>
        <v>26.37983505154639</v>
      </c>
      <c r="P107" s="82">
        <f t="shared" si="41"/>
        <v>27.767376595495808</v>
      </c>
      <c r="Q107" s="77">
        <f t="shared" si="42"/>
        <v>47886.747605701574</v>
      </c>
      <c r="R107" s="77">
        <f t="shared" si="43"/>
        <v>2518.7743432700595</v>
      </c>
      <c r="S107" s="77">
        <f t="shared" si="56"/>
        <v>50405.52194897163</v>
      </c>
      <c r="T107" s="77">
        <f t="shared" si="44"/>
        <v>55992.782687010294</v>
      </c>
      <c r="U107" s="77">
        <f t="shared" si="45"/>
        <v>2945.140179525276</v>
      </c>
      <c r="V107" s="77">
        <f t="shared" si="53"/>
        <v>58937.92286653557</v>
      </c>
      <c r="W107" s="77"/>
      <c r="X107" s="77"/>
      <c r="Y107" s="77"/>
    </row>
    <row r="108" spans="1:25" s="71" customFormat="1" ht="12.75">
      <c r="A108" s="71">
        <f t="shared" si="46"/>
        <v>18</v>
      </c>
      <c r="B108" s="71">
        <f t="shared" si="54"/>
        <v>2</v>
      </c>
      <c r="C108" s="71">
        <f t="shared" si="55"/>
        <v>6</v>
      </c>
      <c r="D108" s="83">
        <f t="shared" si="47"/>
        <v>0.43859283333333327</v>
      </c>
      <c r="E108" s="77">
        <f t="shared" si="35"/>
        <v>2861.8182374999997</v>
      </c>
      <c r="F108" s="81">
        <f t="shared" si="48"/>
        <v>0.9400544806144683</v>
      </c>
      <c r="G108" s="77">
        <f t="shared" si="36"/>
        <v>5699.080288725214</v>
      </c>
      <c r="H108" s="82">
        <f t="shared" si="49"/>
        <v>30.129263942763004</v>
      </c>
      <c r="I108" s="77">
        <f t="shared" si="50"/>
        <v>5699.080288725214</v>
      </c>
      <c r="J108" s="77">
        <f t="shared" si="37"/>
        <v>-25</v>
      </c>
      <c r="K108" s="77">
        <f t="shared" si="38"/>
        <v>5699.080288725214</v>
      </c>
      <c r="L108" s="77">
        <f t="shared" si="51"/>
        <v>5699.080288725214</v>
      </c>
      <c r="M108" s="37">
        <f t="shared" si="39"/>
        <v>-25</v>
      </c>
      <c r="N108" s="81">
        <f t="shared" si="52"/>
        <v>2.406619233691086</v>
      </c>
      <c r="O108" s="77">
        <f t="shared" si="40"/>
        <v>28.323149567010304</v>
      </c>
      <c r="P108" s="82">
        <f t="shared" si="41"/>
        <v>30.129263942763004</v>
      </c>
      <c r="Q108" s="77">
        <f t="shared" si="42"/>
        <v>53985.12491328768</v>
      </c>
      <c r="R108" s="77">
        <f t="shared" si="43"/>
        <v>3442.5306391864733</v>
      </c>
      <c r="S108" s="77">
        <f t="shared" si="56"/>
        <v>57427.65555247415</v>
      </c>
      <c r="T108" s="77">
        <f t="shared" si="44"/>
        <v>60117.5843449534</v>
      </c>
      <c r="U108" s="77">
        <f t="shared" si="45"/>
        <v>3833.5861293976495</v>
      </c>
      <c r="V108" s="77">
        <f t="shared" si="53"/>
        <v>63951.17047435105</v>
      </c>
      <c r="W108" s="77"/>
      <c r="X108" s="77"/>
      <c r="Y108" s="77"/>
    </row>
    <row r="109" spans="1:25" s="71" customFormat="1" ht="12.75">
      <c r="A109" s="71">
        <f t="shared" si="46"/>
        <v>19</v>
      </c>
      <c r="B109" s="71">
        <f t="shared" si="54"/>
        <v>3</v>
      </c>
      <c r="C109" s="71">
        <f t="shared" si="55"/>
        <v>7</v>
      </c>
      <c r="D109" s="83">
        <f t="shared" si="47"/>
        <v>0.4703177149444444</v>
      </c>
      <c r="E109" s="77">
        <f t="shared" si="35"/>
        <v>3068.8230900125</v>
      </c>
      <c r="F109" s="81">
        <f t="shared" si="48"/>
        <v>0.9300899031199549</v>
      </c>
      <c r="G109" s="77">
        <f t="shared" si="36"/>
        <v>5638.670037664727</v>
      </c>
      <c r="H109" s="82">
        <f t="shared" si="49"/>
        <v>32.65475443159781</v>
      </c>
      <c r="I109" s="77">
        <f t="shared" si="50"/>
        <v>5638.670037664727</v>
      </c>
      <c r="J109" s="77">
        <f t="shared" si="37"/>
        <v>-25</v>
      </c>
      <c r="K109" s="77">
        <f t="shared" si="38"/>
        <v>5638.670037664727</v>
      </c>
      <c r="L109" s="77">
        <f t="shared" si="51"/>
        <v>5638.670037664727</v>
      </c>
      <c r="M109" s="37">
        <f t="shared" si="39"/>
        <v>-25</v>
      </c>
      <c r="N109" s="81">
        <f t="shared" si="52"/>
        <v>2.5269501953756404</v>
      </c>
      <c r="O109" s="77">
        <f t="shared" si="40"/>
        <v>30.371857385690724</v>
      </c>
      <c r="P109" s="82">
        <f t="shared" si="41"/>
        <v>32.65475443159781</v>
      </c>
      <c r="Q109" s="77">
        <f t="shared" si="42"/>
        <v>60784.551396116265</v>
      </c>
      <c r="R109" s="77">
        <f t="shared" si="43"/>
        <v>4568.863571852486</v>
      </c>
      <c r="S109" s="77">
        <f t="shared" si="56"/>
        <v>65353.414967968754</v>
      </c>
      <c r="T109" s="77">
        <f t="shared" si="44"/>
        <v>64466.089612571704</v>
      </c>
      <c r="U109" s="77">
        <f t="shared" si="45"/>
        <v>4845.585953760542</v>
      </c>
      <c r="V109" s="77">
        <f t="shared" si="53"/>
        <v>69311.67556633224</v>
      </c>
      <c r="W109" s="77"/>
      <c r="X109" s="77"/>
      <c r="Y109" s="77"/>
    </row>
    <row r="110" spans="1:25" s="71" customFormat="1" ht="12.75">
      <c r="A110" s="71">
        <f t="shared" si="46"/>
        <v>20</v>
      </c>
      <c r="B110" s="71">
        <f t="shared" si="54"/>
        <v>4</v>
      </c>
      <c r="C110" s="71">
        <f t="shared" si="55"/>
        <v>8</v>
      </c>
      <c r="D110" s="83">
        <f t="shared" si="47"/>
        <v>0.5037102727055</v>
      </c>
      <c r="E110" s="77">
        <f t="shared" si="35"/>
        <v>3286.7095294033875</v>
      </c>
      <c r="F110" s="81">
        <f t="shared" si="48"/>
        <v>0.9201379411565713</v>
      </c>
      <c r="G110" s="77">
        <f t="shared" si="36"/>
        <v>5578.3362682617135</v>
      </c>
      <c r="H110" s="82">
        <f t="shared" si="49"/>
        <v>35.35150307918857</v>
      </c>
      <c r="I110" s="77">
        <f t="shared" si="50"/>
        <v>5578.3362682617135</v>
      </c>
      <c r="J110" s="77">
        <f t="shared" si="37"/>
        <v>-25</v>
      </c>
      <c r="K110" s="77">
        <f t="shared" si="38"/>
        <v>5578.3362682617135</v>
      </c>
      <c r="L110" s="77">
        <f t="shared" si="51"/>
        <v>5578.3362682617135</v>
      </c>
      <c r="M110" s="37">
        <f t="shared" si="39"/>
        <v>-25</v>
      </c>
      <c r="N110" s="81">
        <f t="shared" si="52"/>
        <v>2.6532977051444226</v>
      </c>
      <c r="O110" s="77">
        <f t="shared" si="40"/>
        <v>32.52825926007476</v>
      </c>
      <c r="P110" s="82">
        <f t="shared" si="41"/>
        <v>35.35150307918857</v>
      </c>
      <c r="Q110" s="77">
        <f t="shared" si="42"/>
        <v>68355.26727250255</v>
      </c>
      <c r="R110" s="77">
        <f t="shared" si="43"/>
        <v>5932.797826283727</v>
      </c>
      <c r="S110" s="77">
        <f t="shared" si="56"/>
        <v>74288.06509878628</v>
      </c>
      <c r="T110" s="77">
        <f t="shared" si="44"/>
        <v>69043.18197506429</v>
      </c>
      <c r="U110" s="77">
        <f t="shared" si="45"/>
        <v>5992.5044006982</v>
      </c>
      <c r="V110" s="77">
        <f t="shared" si="53"/>
        <v>75035.6863757625</v>
      </c>
      <c r="W110" s="77"/>
      <c r="X110" s="77"/>
      <c r="Y110" s="77"/>
    </row>
    <row r="111" spans="1:25" s="71" customFormat="1" ht="12.75">
      <c r="A111" s="71">
        <f t="shared" si="46"/>
        <v>21</v>
      </c>
      <c r="B111" s="71">
        <f t="shared" si="54"/>
        <v>5</v>
      </c>
      <c r="C111" s="71">
        <f t="shared" si="55"/>
        <v>9</v>
      </c>
      <c r="D111" s="83">
        <f t="shared" si="47"/>
        <v>0.5388020883706498</v>
      </c>
      <c r="E111" s="77">
        <f t="shared" si="35"/>
        <v>3515.6836266184896</v>
      </c>
      <c r="F111" s="81">
        <f t="shared" si="48"/>
        <v>0.9102004513920803</v>
      </c>
      <c r="G111" s="77">
        <f t="shared" si="36"/>
        <v>5518.090236564487</v>
      </c>
      <c r="H111" s="82">
        <f t="shared" si="49"/>
        <v>38.227177982583946</v>
      </c>
      <c r="I111" s="77">
        <f t="shared" si="50"/>
        <v>5518.090236564487</v>
      </c>
      <c r="J111" s="77">
        <f t="shared" si="37"/>
        <v>-25</v>
      </c>
      <c r="K111" s="77">
        <f t="shared" si="38"/>
        <v>5518.090236564487</v>
      </c>
      <c r="L111" s="77">
        <f t="shared" si="51"/>
        <v>5518.090236564487</v>
      </c>
      <c r="M111" s="37">
        <f t="shared" si="39"/>
        <v>-25</v>
      </c>
      <c r="N111" s="81">
        <f t="shared" si="52"/>
        <v>2.785962590401644</v>
      </c>
      <c r="O111" s="77">
        <f t="shared" si="40"/>
        <v>34.794394655193294</v>
      </c>
      <c r="P111" s="82">
        <f t="shared" si="41"/>
        <v>38.227177982583946</v>
      </c>
      <c r="Q111" s="77">
        <f t="shared" si="42"/>
        <v>76773.21843711124</v>
      </c>
      <c r="R111" s="77">
        <f t="shared" si="43"/>
        <v>7574.37589740335</v>
      </c>
      <c r="S111" s="77">
        <f t="shared" si="56"/>
        <v>84347.5943345146</v>
      </c>
      <c r="T111" s="77">
        <f t="shared" si="44"/>
        <v>73853.19031932708</v>
      </c>
      <c r="U111" s="77">
        <f t="shared" si="45"/>
        <v>7286.288579386302</v>
      </c>
      <c r="V111" s="77">
        <f t="shared" si="53"/>
        <v>81139.4788987134</v>
      </c>
      <c r="W111" s="77"/>
      <c r="X111" s="77"/>
      <c r="Y111" s="77"/>
    </row>
    <row r="112" spans="1:25" s="71" customFormat="1" ht="12.75">
      <c r="A112" s="71">
        <f t="shared" si="46"/>
        <v>22</v>
      </c>
      <c r="B112" s="71">
        <f t="shared" si="54"/>
        <v>6</v>
      </c>
      <c r="C112" s="71">
        <f t="shared" si="55"/>
        <v>10</v>
      </c>
      <c r="D112" s="83">
        <f t="shared" si="47"/>
        <v>0.5756202310759776</v>
      </c>
      <c r="E112" s="77">
        <f t="shared" si="35"/>
        <v>3755.9220077707537</v>
      </c>
      <c r="F112" s="81">
        <f t="shared" si="48"/>
        <v>0.9002792664719066</v>
      </c>
      <c r="G112" s="77">
        <f t="shared" si="36"/>
        <v>5457.943052985934</v>
      </c>
      <c r="H112" s="82">
        <f t="shared" si="49"/>
        <v>41.28942319084069</v>
      </c>
      <c r="I112" s="77">
        <f t="shared" si="50"/>
        <v>5457.943052985934</v>
      </c>
      <c r="J112" s="77">
        <f t="shared" si="37"/>
        <v>-25</v>
      </c>
      <c r="K112" s="77">
        <f t="shared" si="38"/>
        <v>5457.943052985934</v>
      </c>
      <c r="L112" s="77">
        <f t="shared" si="51"/>
        <v>5457.943052985934</v>
      </c>
      <c r="M112" s="37">
        <f t="shared" si="39"/>
        <v>-25</v>
      </c>
      <c r="N112" s="81">
        <f t="shared" si="52"/>
        <v>2.9252607199217264</v>
      </c>
      <c r="O112" s="77">
        <f t="shared" si="40"/>
        <v>37.17201162329818</v>
      </c>
      <c r="P112" s="82">
        <f t="shared" si="41"/>
        <v>41.28942319084069</v>
      </c>
      <c r="Q112" s="77">
        <f t="shared" si="42"/>
        <v>86120.35778182957</v>
      </c>
      <c r="R112" s="77">
        <f t="shared" si="43"/>
        <v>9539.245842416478</v>
      </c>
      <c r="S112" s="77">
        <f t="shared" si="56"/>
        <v>95659.60362424605</v>
      </c>
      <c r="T112" s="77">
        <f t="shared" si="44"/>
        <v>78899.8249911478</v>
      </c>
      <c r="U112" s="77">
        <f t="shared" si="45"/>
        <v>8739.45309680302</v>
      </c>
      <c r="V112" s="77">
        <f t="shared" si="53"/>
        <v>87639.27808795082</v>
      </c>
      <c r="W112" s="77"/>
      <c r="X112" s="77"/>
      <c r="Y112" s="77"/>
    </row>
    <row r="113" spans="1:25" s="71" customFormat="1" ht="12.75">
      <c r="A113" s="71">
        <f t="shared" si="46"/>
        <v>23</v>
      </c>
      <c r="B113" s="71">
        <f t="shared" si="54"/>
        <v>7</v>
      </c>
      <c r="C113" s="71">
        <f t="shared" si="55"/>
        <v>11</v>
      </c>
      <c r="D113" s="83">
        <f t="shared" si="47"/>
        <v>0.614186786558068</v>
      </c>
      <c r="E113" s="77">
        <f t="shared" si="35"/>
        <v>4007.568782291394</v>
      </c>
      <c r="F113" s="81">
        <f t="shared" si="48"/>
        <v>0.8903761945407156</v>
      </c>
      <c r="G113" s="77">
        <f t="shared" si="36"/>
        <v>5397.9056794030885</v>
      </c>
      <c r="H113" s="82">
        <f t="shared" si="49"/>
        <v>44.5458185486623</v>
      </c>
      <c r="I113" s="77">
        <f t="shared" si="50"/>
        <v>5397.9056794030885</v>
      </c>
      <c r="J113" s="77">
        <f t="shared" si="37"/>
        <v>-25</v>
      </c>
      <c r="K113" s="77">
        <f t="shared" si="38"/>
        <v>5397.9056794030885</v>
      </c>
      <c r="L113" s="77">
        <f t="shared" si="51"/>
        <v>5397.9056794030885</v>
      </c>
      <c r="M113" s="37">
        <f t="shared" si="39"/>
        <v>-25</v>
      </c>
      <c r="N113" s="81">
        <f t="shared" si="52"/>
        <v>3.071523755917813</v>
      </c>
      <c r="O113" s="77">
        <f t="shared" si="40"/>
        <v>39.66253640205916</v>
      </c>
      <c r="P113" s="82">
        <f t="shared" si="41"/>
        <v>44.5458185486623</v>
      </c>
      <c r="Q113" s="77">
        <f t="shared" si="42"/>
        <v>96484.94284087274</v>
      </c>
      <c r="R113" s="77">
        <f t="shared" si="43"/>
        <v>11879.300759151563</v>
      </c>
      <c r="S113" s="77">
        <f t="shared" si="56"/>
        <v>108364.2436000243</v>
      </c>
      <c r="T113" s="77">
        <f t="shared" si="44"/>
        <v>84186.1132655547</v>
      </c>
      <c r="U113" s="77">
        <f t="shared" si="45"/>
        <v>10365.059353093953</v>
      </c>
      <c r="V113" s="77">
        <f t="shared" si="53"/>
        <v>94551.17261864865</v>
      </c>
      <c r="W113" s="77"/>
      <c r="X113" s="77"/>
      <c r="Y113" s="77"/>
    </row>
    <row r="114" spans="1:25" s="71" customFormat="1" ht="12.75">
      <c r="A114" s="71">
        <f t="shared" si="46"/>
        <v>24</v>
      </c>
      <c r="B114" s="71">
        <f t="shared" si="54"/>
        <v>0</v>
      </c>
      <c r="C114" s="71">
        <f t="shared" si="55"/>
        <v>0</v>
      </c>
      <c r="D114" s="83">
        <f t="shared" si="47"/>
        <v>0.38</v>
      </c>
      <c r="E114" s="77">
        <f t="shared" si="35"/>
        <v>2479.5</v>
      </c>
      <c r="F114" s="81">
        <f t="shared" si="48"/>
        <v>1</v>
      </c>
      <c r="G114" s="77">
        <f t="shared" si="36"/>
        <v>6062.5</v>
      </c>
      <c r="H114" s="82">
        <f t="shared" si="49"/>
        <v>24.539381443298968</v>
      </c>
      <c r="I114" s="77">
        <f t="shared" si="50"/>
        <v>6062.5</v>
      </c>
      <c r="J114" s="77">
        <f t="shared" si="37"/>
        <v>-25</v>
      </c>
      <c r="K114" s="77">
        <f t="shared" si="38"/>
        <v>6062.5</v>
      </c>
      <c r="L114" s="77">
        <f t="shared" si="51"/>
        <v>6062.5</v>
      </c>
      <c r="M114" s="37">
        <f t="shared" si="39"/>
        <v>-25</v>
      </c>
      <c r="N114" s="81">
        <f t="shared" si="52"/>
        <v>3.225099943713704</v>
      </c>
      <c r="O114" s="77">
        <f t="shared" si="40"/>
        <v>24.539381443298968</v>
      </c>
      <c r="P114" s="82">
        <f t="shared" si="41"/>
        <v>24.539381443298968</v>
      </c>
      <c r="Q114" s="77">
        <f t="shared" si="42"/>
        <v>62680.43050754967</v>
      </c>
      <c r="R114" s="77">
        <f t="shared" si="43"/>
        <v>0</v>
      </c>
      <c r="S114" s="77">
        <f t="shared" si="56"/>
        <v>62680.43050754967</v>
      </c>
      <c r="T114" s="77">
        <f t="shared" si="44"/>
        <v>52086.30947628866</v>
      </c>
      <c r="U114" s="77">
        <f t="shared" si="45"/>
        <v>0</v>
      </c>
      <c r="V114" s="77">
        <f t="shared" si="53"/>
        <v>52086.30947628866</v>
      </c>
      <c r="W114" s="77"/>
      <c r="X114" s="77"/>
      <c r="Y114" s="77"/>
    </row>
    <row r="115" spans="4:25" s="71" customFormat="1" ht="12.75">
      <c r="D115" s="83"/>
      <c r="E115" s="77"/>
      <c r="F115" s="81"/>
      <c r="G115" s="77"/>
      <c r="H115" s="82"/>
      <c r="I115" s="77"/>
      <c r="J115" s="77"/>
      <c r="K115" s="77"/>
      <c r="L115" s="77"/>
      <c r="M115" s="37"/>
      <c r="N115" s="81"/>
      <c r="O115" s="77" t="s">
        <v>67</v>
      </c>
      <c r="P115" s="82">
        <f>+F10+90</f>
        <v>102</v>
      </c>
      <c r="Q115" s="77" t="str">
        <f>CONCATENATE("s",P115)</f>
        <v>s102</v>
      </c>
      <c r="R115" s="77"/>
      <c r="S115" s="77">
        <f ca="1">SUM(S90:INDIRECT(Q115))</f>
        <v>454543.41170382494</v>
      </c>
      <c r="T115" s="77" t="str">
        <f>CONCATENATE("v",P115)</f>
        <v>v102</v>
      </c>
      <c r="U115" s="77"/>
      <c r="V115" s="77">
        <f ca="1">SUM(V90:INDIRECT(T115))</f>
        <v>886897.4305915529</v>
      </c>
      <c r="W115" s="77"/>
      <c r="X115" s="77"/>
      <c r="Y115" s="77"/>
    </row>
    <row r="116" spans="4:25" s="71" customFormat="1" ht="12.75">
      <c r="D116" s="83"/>
      <c r="E116" s="77"/>
      <c r="F116" s="81"/>
      <c r="G116" s="77"/>
      <c r="H116" s="82"/>
      <c r="I116" s="77"/>
      <c r="J116" s="77"/>
      <c r="K116" s="77"/>
      <c r="L116" s="77"/>
      <c r="M116" s="37"/>
      <c r="N116" s="81"/>
      <c r="O116" s="77"/>
      <c r="P116" s="82"/>
      <c r="Q116" s="77"/>
      <c r="R116" s="77"/>
      <c r="S116" s="77">
        <f>+S115-S85</f>
        <v>349769.1289881605</v>
      </c>
      <c r="T116" s="77"/>
      <c r="U116" s="77" t="s">
        <v>93</v>
      </c>
      <c r="V116" s="77">
        <f>+V115-V85</f>
        <v>-237187.02269524836</v>
      </c>
      <c r="W116" s="77"/>
      <c r="X116" s="77"/>
      <c r="Y116" s="77"/>
    </row>
    <row r="117" spans="4:25" s="71" customFormat="1" ht="12.75">
      <c r="D117" s="83"/>
      <c r="E117" s="77"/>
      <c r="F117" s="81"/>
      <c r="G117" s="77"/>
      <c r="H117" s="82"/>
      <c r="I117" s="77"/>
      <c r="J117" s="77"/>
      <c r="K117" s="77"/>
      <c r="L117" s="77"/>
      <c r="M117" s="37"/>
      <c r="N117" s="81"/>
      <c r="O117" s="77"/>
      <c r="P117" s="82"/>
      <c r="Q117" s="77"/>
      <c r="R117" s="77"/>
      <c r="S117" s="77"/>
      <c r="T117" s="77"/>
      <c r="U117" s="77"/>
      <c r="V117" s="77"/>
      <c r="W117" s="77"/>
      <c r="X117" s="77"/>
      <c r="Y117" s="77"/>
    </row>
    <row r="118" spans="4:25" s="71" customFormat="1" ht="12.75">
      <c r="D118" s="83"/>
      <c r="E118" s="77"/>
      <c r="F118" s="81"/>
      <c r="G118" s="77"/>
      <c r="H118" s="82"/>
      <c r="I118" s="77"/>
      <c r="J118" s="77"/>
      <c r="K118" s="77"/>
      <c r="L118" s="77"/>
      <c r="M118" s="37"/>
      <c r="N118" s="81"/>
      <c r="O118" s="77"/>
      <c r="P118" s="82"/>
      <c r="Q118" s="77"/>
      <c r="R118" s="77"/>
      <c r="S118" s="77"/>
      <c r="T118" s="77"/>
      <c r="U118" s="77"/>
      <c r="V118" s="77"/>
      <c r="W118" s="77"/>
      <c r="X118" s="77"/>
      <c r="Y118" s="77"/>
    </row>
    <row r="119" spans="4:25" s="71" customFormat="1" ht="12.75">
      <c r="D119" s="83"/>
      <c r="E119" s="77"/>
      <c r="F119" s="81"/>
      <c r="G119" s="77"/>
      <c r="H119" s="82"/>
      <c r="I119" s="77"/>
      <c r="J119" s="77"/>
      <c r="K119" s="77"/>
      <c r="L119" s="77"/>
      <c r="M119" s="37"/>
      <c r="N119" s="81"/>
      <c r="O119" s="77"/>
      <c r="P119" s="82"/>
      <c r="Q119" s="77"/>
      <c r="R119" s="77"/>
      <c r="S119" s="77"/>
      <c r="T119" s="77"/>
      <c r="U119" s="77"/>
      <c r="V119" s="77"/>
      <c r="W119" s="77"/>
      <c r="X119" s="77"/>
      <c r="Y119" s="77"/>
    </row>
    <row r="120" spans="4:25" s="71" customFormat="1" ht="12.75">
      <c r="D120" s="83"/>
      <c r="E120" s="77"/>
      <c r="F120" s="81"/>
      <c r="G120" s="77"/>
      <c r="H120" s="82"/>
      <c r="I120" s="77"/>
      <c r="J120" s="77"/>
      <c r="K120" s="77"/>
      <c r="L120" s="77"/>
      <c r="M120" s="37"/>
      <c r="N120" s="81"/>
      <c r="O120" s="77"/>
      <c r="P120" s="82"/>
      <c r="Q120" s="77"/>
      <c r="R120" s="77"/>
      <c r="S120" s="77"/>
      <c r="T120" s="77"/>
      <c r="U120" s="77"/>
      <c r="V120" s="77"/>
      <c r="W120" s="77"/>
      <c r="X120" s="77"/>
      <c r="Y120" s="77"/>
    </row>
    <row r="121" spans="4:25" s="71" customFormat="1" ht="12.75">
      <c r="D121" s="83"/>
      <c r="E121" s="77"/>
      <c r="F121" s="81"/>
      <c r="G121" s="77"/>
      <c r="H121" s="82"/>
      <c r="I121" s="77"/>
      <c r="J121" s="77"/>
      <c r="K121" s="77"/>
      <c r="L121" s="77"/>
      <c r="M121" s="37"/>
      <c r="N121" s="81"/>
      <c r="O121" s="77"/>
      <c r="P121" s="82"/>
      <c r="Q121" s="77"/>
      <c r="R121" s="77"/>
      <c r="S121" s="77"/>
      <c r="T121" s="77"/>
      <c r="U121" s="77"/>
      <c r="V121" s="77"/>
      <c r="W121" s="77"/>
      <c r="X121" s="77"/>
      <c r="Y121" s="77"/>
    </row>
    <row r="122" spans="4:25" s="71" customFormat="1" ht="12.75">
      <c r="D122" s="83"/>
      <c r="E122" s="77"/>
      <c r="F122" s="81"/>
      <c r="G122" s="77"/>
      <c r="H122" s="82"/>
      <c r="I122" s="77"/>
      <c r="J122" s="77"/>
      <c r="K122" s="77"/>
      <c r="L122" s="77"/>
      <c r="M122" s="37"/>
      <c r="N122" s="81"/>
      <c r="O122" s="77"/>
      <c r="P122" s="82"/>
      <c r="Q122" s="77"/>
      <c r="R122" s="77"/>
      <c r="S122" s="77"/>
      <c r="T122" s="77"/>
      <c r="U122" s="77"/>
      <c r="V122" s="77"/>
      <c r="W122" s="77"/>
      <c r="X122" s="77"/>
      <c r="Y122" s="77"/>
    </row>
    <row r="123" spans="4:25" s="71" customFormat="1" ht="12.75">
      <c r="D123" s="83"/>
      <c r="E123" s="77"/>
      <c r="F123" s="81"/>
      <c r="G123" s="77"/>
      <c r="H123" s="82"/>
      <c r="I123" s="77"/>
      <c r="J123" s="77"/>
      <c r="K123" s="77"/>
      <c r="L123" s="77"/>
      <c r="M123" s="37"/>
      <c r="N123" s="81"/>
      <c r="O123" s="77"/>
      <c r="P123" s="82"/>
      <c r="Q123" s="77"/>
      <c r="R123" s="77"/>
      <c r="S123" s="77"/>
      <c r="T123" s="77"/>
      <c r="U123" s="77"/>
      <c r="V123" s="77"/>
      <c r="W123" s="77"/>
      <c r="X123" s="77"/>
      <c r="Y123" s="77"/>
    </row>
    <row r="124" spans="4:25" s="71" customFormat="1" ht="12.75">
      <c r="D124" s="83"/>
      <c r="E124" s="77"/>
      <c r="F124" s="81"/>
      <c r="G124" s="77"/>
      <c r="H124" s="82"/>
      <c r="I124" s="77"/>
      <c r="J124" s="77"/>
      <c r="K124" s="77"/>
      <c r="L124" s="77"/>
      <c r="M124" s="37"/>
      <c r="N124" s="81"/>
      <c r="O124" s="77"/>
      <c r="P124" s="82"/>
      <c r="Q124" s="77"/>
      <c r="R124" s="77"/>
      <c r="S124" s="77"/>
      <c r="T124" s="77"/>
      <c r="U124" s="77"/>
      <c r="V124" s="77"/>
      <c r="W124" s="77"/>
      <c r="X124" s="77"/>
      <c r="Y124" s="77"/>
    </row>
    <row r="125" spans="4:25" s="71" customFormat="1" ht="12.75">
      <c r="D125" s="83"/>
      <c r="E125" s="77"/>
      <c r="F125" s="81"/>
      <c r="G125" s="77"/>
      <c r="H125" s="82"/>
      <c r="I125" s="77"/>
      <c r="J125" s="77"/>
      <c r="K125" s="77"/>
      <c r="L125" s="77"/>
      <c r="M125" s="37"/>
      <c r="N125" s="81"/>
      <c r="O125" s="77"/>
      <c r="P125" s="82"/>
      <c r="Q125" s="77"/>
      <c r="R125" s="77"/>
      <c r="S125" s="77"/>
      <c r="T125" s="77"/>
      <c r="U125" s="77"/>
      <c r="V125" s="77"/>
      <c r="W125" s="77"/>
      <c r="X125" s="77"/>
      <c r="Y125" s="77"/>
    </row>
    <row r="126" spans="4:25" s="71" customFormat="1" ht="12.75">
      <c r="D126" s="83"/>
      <c r="E126" s="77"/>
      <c r="F126" s="81"/>
      <c r="G126" s="77"/>
      <c r="H126" s="82"/>
      <c r="I126" s="77"/>
      <c r="J126" s="77"/>
      <c r="K126" s="77"/>
      <c r="L126" s="77"/>
      <c r="M126" s="37"/>
      <c r="N126" s="81"/>
      <c r="O126" s="77"/>
      <c r="P126" s="82"/>
      <c r="Q126" s="77"/>
      <c r="R126" s="77"/>
      <c r="S126" s="77"/>
      <c r="T126" s="77"/>
      <c r="U126" s="77"/>
      <c r="V126" s="77"/>
      <c r="W126" s="77"/>
      <c r="X126" s="77"/>
      <c r="Y126" s="77"/>
    </row>
    <row r="127" spans="4:25" s="71" customFormat="1" ht="12.75">
      <c r="D127" s="83"/>
      <c r="E127" s="77"/>
      <c r="F127" s="81"/>
      <c r="G127" s="77"/>
      <c r="H127" s="82"/>
      <c r="I127" s="77"/>
      <c r="J127" s="77"/>
      <c r="K127" s="77"/>
      <c r="L127" s="77"/>
      <c r="M127" s="37"/>
      <c r="N127" s="81"/>
      <c r="O127" s="77"/>
      <c r="P127" s="82"/>
      <c r="Q127" s="77"/>
      <c r="R127" s="77"/>
      <c r="S127" s="77"/>
      <c r="T127" s="77"/>
      <c r="U127" s="77"/>
      <c r="V127" s="77"/>
      <c r="W127" s="77"/>
      <c r="X127" s="77"/>
      <c r="Y127" s="77"/>
    </row>
    <row r="128" spans="4:25" s="71" customFormat="1" ht="12.75">
      <c r="D128" s="83"/>
      <c r="E128" s="77"/>
      <c r="F128" s="81"/>
      <c r="G128" s="77"/>
      <c r="H128" s="82"/>
      <c r="I128" s="77"/>
      <c r="J128" s="77"/>
      <c r="K128" s="77"/>
      <c r="L128" s="77"/>
      <c r="M128" s="37"/>
      <c r="N128" s="81"/>
      <c r="O128" s="77"/>
      <c r="P128" s="82"/>
      <c r="Q128" s="77"/>
      <c r="R128" s="77"/>
      <c r="S128" s="77"/>
      <c r="T128" s="77"/>
      <c r="U128" s="77"/>
      <c r="V128" s="77"/>
      <c r="W128" s="77"/>
      <c r="X128" s="77"/>
      <c r="Y128" s="77"/>
    </row>
    <row r="129" spans="2:25" s="71" customFormat="1" ht="12.75">
      <c r="B129" s="71" t="s">
        <v>9</v>
      </c>
      <c r="C129" s="71" t="s">
        <v>109</v>
      </c>
      <c r="D129" s="84" t="s">
        <v>98</v>
      </c>
      <c r="E129" s="85"/>
      <c r="F129" s="84"/>
      <c r="G129" s="87" t="s">
        <v>9</v>
      </c>
      <c r="H129" s="84"/>
      <c r="I129" s="87" t="s">
        <v>125</v>
      </c>
      <c r="J129" s="85"/>
      <c r="K129" s="87"/>
      <c r="L129" s="84" t="s">
        <v>110</v>
      </c>
      <c r="M129" s="85"/>
      <c r="N129" s="85"/>
      <c r="O129" s="85"/>
      <c r="P129" s="87"/>
      <c r="Q129" s="84" t="s">
        <v>126</v>
      </c>
      <c r="R129" s="85"/>
      <c r="S129" s="85"/>
      <c r="T129" s="85"/>
      <c r="U129" s="87"/>
      <c r="V129" s="88"/>
      <c r="W129" s="85"/>
      <c r="X129" s="87"/>
      <c r="Y129" s="77" t="s">
        <v>105</v>
      </c>
    </row>
    <row r="130" spans="2:25" s="71" customFormat="1" ht="12.75">
      <c r="B130" s="71" t="s">
        <v>36</v>
      </c>
      <c r="C130" s="71" t="s">
        <v>36</v>
      </c>
      <c r="D130" s="89" t="s">
        <v>27</v>
      </c>
      <c r="E130" s="90" t="s">
        <v>69</v>
      </c>
      <c r="F130" s="89"/>
      <c r="G130" s="91" t="s">
        <v>100</v>
      </c>
      <c r="H130" s="89"/>
      <c r="I130" s="91" t="s">
        <v>100</v>
      </c>
      <c r="J130" s="92" t="s">
        <v>102</v>
      </c>
      <c r="K130" s="91" t="s">
        <v>10</v>
      </c>
      <c r="L130" s="89"/>
      <c r="M130" s="92" t="s">
        <v>146</v>
      </c>
      <c r="N130" s="92"/>
      <c r="O130" s="92" t="s">
        <v>148</v>
      </c>
      <c r="P130" s="91" t="s">
        <v>104</v>
      </c>
      <c r="Q130" s="89"/>
      <c r="R130" s="92" t="s">
        <v>150</v>
      </c>
      <c r="S130" s="92"/>
      <c r="T130" s="92" t="s">
        <v>148</v>
      </c>
      <c r="U130" s="91" t="s">
        <v>104</v>
      </c>
      <c r="V130" s="93" t="s">
        <v>69</v>
      </c>
      <c r="W130" s="93" t="s">
        <v>102</v>
      </c>
      <c r="X130" s="91" t="s">
        <v>99</v>
      </c>
      <c r="Y130" s="82" t="s">
        <v>106</v>
      </c>
    </row>
    <row r="131" spans="4:25" s="71" customFormat="1" ht="12.75">
      <c r="D131" s="78" t="s">
        <v>36</v>
      </c>
      <c r="E131" s="94" t="s">
        <v>59</v>
      </c>
      <c r="F131" s="78" t="s">
        <v>103</v>
      </c>
      <c r="G131" s="95" t="s">
        <v>101</v>
      </c>
      <c r="H131" s="78" t="s">
        <v>124</v>
      </c>
      <c r="I131" s="95" t="s">
        <v>101</v>
      </c>
      <c r="J131" s="79" t="s">
        <v>59</v>
      </c>
      <c r="K131" s="95" t="s">
        <v>59</v>
      </c>
      <c r="L131" s="78" t="s">
        <v>103</v>
      </c>
      <c r="M131" s="79" t="s">
        <v>147</v>
      </c>
      <c r="N131" s="79" t="s">
        <v>124</v>
      </c>
      <c r="O131" s="79" t="s">
        <v>149</v>
      </c>
      <c r="P131" s="95" t="s">
        <v>59</v>
      </c>
      <c r="Q131" s="78" t="s">
        <v>124</v>
      </c>
      <c r="R131" s="79" t="s">
        <v>147</v>
      </c>
      <c r="S131" s="79" t="s">
        <v>124</v>
      </c>
      <c r="T131" s="79" t="s">
        <v>151</v>
      </c>
      <c r="U131" s="95" t="s">
        <v>59</v>
      </c>
      <c r="V131" s="96" t="s">
        <v>36</v>
      </c>
      <c r="W131" s="96" t="s">
        <v>59</v>
      </c>
      <c r="X131" s="95"/>
      <c r="Y131" s="82"/>
    </row>
    <row r="132" s="71" customFormat="1" ht="12.75"/>
    <row r="133" spans="1:25" s="71" customFormat="1" ht="12.75">
      <c r="A133" s="71">
        <v>0</v>
      </c>
      <c r="B133" s="71">
        <v>0</v>
      </c>
      <c r="C133" s="71">
        <v>0</v>
      </c>
      <c r="D133" s="77">
        <f>+S59</f>
        <v>19435.190103092784</v>
      </c>
      <c r="E133" s="77">
        <f>+D133</f>
        <v>19435.190103092784</v>
      </c>
      <c r="F133" s="97">
        <v>0</v>
      </c>
      <c r="G133" s="77">
        <f>IF(F133&gt;F23,0,IF(F133=1000,0,IF($B133=0,$K$21+IF($F$23&gt;=1,-$H$24,0),-$H$24)))</f>
        <v>16430.22729859338</v>
      </c>
      <c r="H133" s="97">
        <v>0</v>
      </c>
      <c r="I133" s="77">
        <f>IF(H133&gt;F28,0,IF(H133=1000,0,IF($C133=0,$K$26+IF($F$28&gt;=1,-$H$29,0),-$H$29)))</f>
        <v>20205.974055535295</v>
      </c>
      <c r="J133" s="77">
        <f>+D133+G133+I133</f>
        <v>56071.391457221456</v>
      </c>
      <c r="K133" s="77">
        <f>+J133</f>
        <v>56071.391457221456</v>
      </c>
      <c r="L133" s="71">
        <f aca="true" t="shared" si="57" ref="L133:L157">+B133</f>
        <v>0</v>
      </c>
      <c r="M133" s="77">
        <f>+$F$21*(1+$K$19/100)^$A133</f>
        <v>25000</v>
      </c>
      <c r="N133" s="71">
        <v>0</v>
      </c>
      <c r="O133" s="97">
        <f>IF(L133&gt;$F$23,0,IF($F$23&lt;&gt;0,12*PMT($K$23/100,$F$23*12,M133-$K$21),0))</f>
        <v>-8930.227298593383</v>
      </c>
      <c r="P133" s="77">
        <f>IF(L133=1000,0,IF($B133=0,$K$21+IF($F$23&gt;=1,-O133,0),-O133))</f>
        <v>16430.22729859338</v>
      </c>
      <c r="Q133" s="71">
        <f aca="true" t="shared" si="58" ref="Q133:Q157">+C133</f>
        <v>0</v>
      </c>
      <c r="R133" s="77">
        <f>+$F$26*(1+$K$19/100)^$A133</f>
        <v>30000</v>
      </c>
      <c r="S133" s="71">
        <v>0</v>
      </c>
      <c r="T133" s="97">
        <f>IF(Q133&gt;$F$28,0,IF($F$28&lt;&gt;0,12*PMT($K$28/100,$F$28*12,R133-$K$26),0))</f>
        <v>-10205.974055535295</v>
      </c>
      <c r="U133" s="77">
        <f>IF(Q133&gt;$F$28,0,IF(Q133=1000,0,IF($C133=0,$K$26+IF($F$28&gt;=1,-$H$29,0),-$H$29)))</f>
        <v>20205.974055535295</v>
      </c>
      <c r="V133" s="77">
        <f aca="true" t="shared" si="59" ref="V133:V157">+S90</f>
        <v>19435.190103092784</v>
      </c>
      <c r="W133" s="97">
        <f aca="true" t="shared" si="60" ref="W133:W157">+P133+U133+V133</f>
        <v>56071.391457221456</v>
      </c>
      <c r="X133" s="77">
        <f>+W133</f>
        <v>56071.391457221456</v>
      </c>
      <c r="Y133" s="77">
        <f aca="true" t="shared" si="61" ref="Y133:Y157">+J133-W133</f>
        <v>0</v>
      </c>
    </row>
    <row r="134" spans="1:25" s="71" customFormat="1" ht="12.75">
      <c r="A134" s="71">
        <f>+A133+1</f>
        <v>1</v>
      </c>
      <c r="B134" s="71">
        <f>IF(B133+1&lt;$F$22,B133+1,0)</f>
        <v>1</v>
      </c>
      <c r="C134" s="71">
        <f>IF(C133+1&lt;$F$27,C133+1,0)</f>
        <v>1</v>
      </c>
      <c r="D134" s="77">
        <f aca="true" t="shared" si="62" ref="D134:D157">+S60</f>
        <v>22159.061443298964</v>
      </c>
      <c r="E134" s="77">
        <f>+E133+D134</f>
        <v>41594.25154639175</v>
      </c>
      <c r="F134" s="97">
        <f aca="true" t="shared" si="63" ref="F134:F157">IF(F133=1000,1000,IF(B134=0,1000,B134))</f>
        <v>1</v>
      </c>
      <c r="G134" s="77">
        <f>IF(F134&gt;F$23,0,IF(F134=1000,0,IF($B134=0,$K$21-$K$22+IF($F$23&gt;=1,-$H$24,0),-$H$24)))</f>
        <v>8930.227298593383</v>
      </c>
      <c r="H134" s="97">
        <f>IF(H133=1000,1000,IF(C134=0,1000,C134))</f>
        <v>1</v>
      </c>
      <c r="I134" s="77">
        <f>IF(H134&gt;F$28,0,IF(H134=1000,0,IF($C134=0,$K$26-$K$27+IF($F$28&gt;=1,-$H$29,0),-$H$29)))</f>
        <v>10205.974055535295</v>
      </c>
      <c r="J134" s="77">
        <f aca="true" t="shared" si="64" ref="J134:J157">+D134+G134+I134</f>
        <v>41295.26279742764</v>
      </c>
      <c r="K134" s="77">
        <f>+K133+J134</f>
        <v>97366.6542546491</v>
      </c>
      <c r="L134" s="71">
        <f t="shared" si="57"/>
        <v>1</v>
      </c>
      <c r="M134" s="77">
        <f aca="true" t="shared" si="65" ref="M134:M157">+$F$21*(1+$K$19/100)^$A134</f>
        <v>25574.999999999996</v>
      </c>
      <c r="N134" s="71">
        <f>IF(N133=0,IF(L134=0,1,0),0)</f>
        <v>0</v>
      </c>
      <c r="O134" s="97">
        <f>IF(L134&gt;$F$23,0,IF($F$23&lt;&gt;0,IF(N134=0,O133,12*PMT($K$23/100,$F$23*12,M134-$K$21)),0))</f>
        <v>-8930.227298593383</v>
      </c>
      <c r="P134" s="77">
        <f aca="true" t="shared" si="66" ref="P134:P157">IF(L134=1000,0,IF($B134=0,$K$21+IF($F$23&gt;=1,-O134,0),-O134))</f>
        <v>8930.227298593383</v>
      </c>
      <c r="Q134" s="71">
        <f t="shared" si="58"/>
        <v>1</v>
      </c>
      <c r="R134" s="77">
        <f aca="true" t="shared" si="67" ref="R134:R157">+$F$26*(1+$K$19/100)^$A134</f>
        <v>30689.999999999996</v>
      </c>
      <c r="S134" s="71">
        <f>IF(S133=0,IF(Q134=0,1,0),0)</f>
        <v>0</v>
      </c>
      <c r="T134" s="97">
        <f>IF(Q134&gt;$F$28,0,IF($F$28&lt;&gt;0,IF(S134=0,T133,12*PMT($K$28/100,$F$28*12,R134-$K$26)),0))</f>
        <v>-10205.974055535295</v>
      </c>
      <c r="U134" s="77">
        <f>IF(Q134&gt;$F$28,0,IF(Q134=1000,0,IF($C134=0,$K$26-$K$27+IF($F$28&gt;=1,-$H$29,0),-$H$29)))</f>
        <v>10205.974055535295</v>
      </c>
      <c r="V134" s="77">
        <f t="shared" si="59"/>
        <v>22159.061443298964</v>
      </c>
      <c r="W134" s="97">
        <f t="shared" si="60"/>
        <v>41295.26279742764</v>
      </c>
      <c r="X134" s="77">
        <f>+X133+W134</f>
        <v>97366.6542546491</v>
      </c>
      <c r="Y134" s="77">
        <f t="shared" si="61"/>
        <v>0</v>
      </c>
    </row>
    <row r="135" spans="1:25" s="71" customFormat="1" ht="12.75">
      <c r="A135" s="71">
        <f aca="true" t="shared" si="68" ref="A135:A157">+A134+1</f>
        <v>2</v>
      </c>
      <c r="B135" s="71">
        <f aca="true" t="shared" si="69" ref="B135:B157">IF(B134+1&lt;$F$22,B134+1,0)</f>
        <v>2</v>
      </c>
      <c r="C135" s="71">
        <f aca="true" t="shared" si="70" ref="C135:C157">IF(C134+1&lt;$F$27,C134+1,0)</f>
        <v>2</v>
      </c>
      <c r="D135" s="77">
        <f t="shared" si="62"/>
        <v>25235.900513287295</v>
      </c>
      <c r="E135" s="77">
        <f aca="true" t="shared" si="71" ref="E135:E157">+E134+D135</f>
        <v>66830.15205967905</v>
      </c>
      <c r="F135" s="97">
        <f t="shared" si="63"/>
        <v>2</v>
      </c>
      <c r="G135" s="77">
        <f aca="true" t="shared" si="72" ref="G135:G157">IF(F135&gt;F$23,0,IF(F135=1000,0,IF($B135=0,$K$21-$K$22+IF($F$23&gt;=1,-$H$24,0),-$H$24)))</f>
        <v>8930.227298593383</v>
      </c>
      <c r="H135" s="97">
        <f aca="true" t="shared" si="73" ref="H135:H157">IF(H134=1000,1000,IF(C135=0,1000,C135))</f>
        <v>2</v>
      </c>
      <c r="I135" s="77">
        <f aca="true" t="shared" si="74" ref="I135:I157">IF(H135&gt;F$28,0,IF(H135=1000,0,IF($C135=0,$K$26-$K$27+IF($F$28&gt;=1,-$H$29,0),-$H$29)))</f>
        <v>10205.974055535295</v>
      </c>
      <c r="J135" s="77">
        <f t="shared" si="64"/>
        <v>44372.10186741597</v>
      </c>
      <c r="K135" s="77">
        <f aca="true" t="shared" si="75" ref="K135:K157">+K134+J135</f>
        <v>141738.75612206507</v>
      </c>
      <c r="L135" s="71">
        <f t="shared" si="57"/>
        <v>2</v>
      </c>
      <c r="M135" s="77">
        <f t="shared" si="65"/>
        <v>26163.224999999995</v>
      </c>
      <c r="N135" s="71">
        <f aca="true" t="shared" si="76" ref="N135:N157">IF(N134=0,IF(L135=0,1,0),0)</f>
        <v>0</v>
      </c>
      <c r="O135" s="97">
        <f aca="true" t="shared" si="77" ref="O135:O157">IF(L135&gt;$F$23,0,IF($F$23&lt;&gt;0,IF(N135=0,O134,12*PMT($K$23/100,$F$23*12,M135-$K$21)),0))</f>
        <v>-8930.227298593383</v>
      </c>
      <c r="P135" s="77">
        <f t="shared" si="66"/>
        <v>8930.227298593383</v>
      </c>
      <c r="Q135" s="71">
        <f t="shared" si="58"/>
        <v>2</v>
      </c>
      <c r="R135" s="77">
        <f t="shared" si="67"/>
        <v>31395.869999999995</v>
      </c>
      <c r="S135" s="71">
        <f aca="true" t="shared" si="78" ref="S135:S157">IF(S134=0,IF(Q135=0,1,0),0)</f>
        <v>0</v>
      </c>
      <c r="T135" s="97">
        <f aca="true" t="shared" si="79" ref="T135:T157">IF(Q135&gt;$F$28,0,IF($F$28&lt;&gt;0,IF(S135=0,T134,12*PMT($K$28/100,$F$28*12,R135-$K$26)),0))</f>
        <v>-10205.974055535295</v>
      </c>
      <c r="U135" s="77">
        <f aca="true" t="shared" si="80" ref="U135:U157">IF(Q135&gt;$F$28,0,IF(Q135=1000,0,IF($C135=0,$K$26-$K$27+IF($F$28&gt;=1,-$H$29,0),-$H$29)))</f>
        <v>10205.974055535295</v>
      </c>
      <c r="V135" s="77">
        <f t="shared" si="59"/>
        <v>25235.900513287295</v>
      </c>
      <c r="W135" s="97">
        <f t="shared" si="60"/>
        <v>44372.10186741597</v>
      </c>
      <c r="X135" s="77">
        <f aca="true" t="shared" si="81" ref="X135:X157">+X134+W135</f>
        <v>141738.75612206507</v>
      </c>
      <c r="Y135" s="77">
        <f t="shared" si="61"/>
        <v>0</v>
      </c>
    </row>
    <row r="136" spans="1:25" s="71" customFormat="1" ht="12.75">
      <c r="A136" s="71">
        <f t="shared" si="68"/>
        <v>3</v>
      </c>
      <c r="B136" s="71">
        <f t="shared" si="69"/>
        <v>3</v>
      </c>
      <c r="C136" s="71">
        <f t="shared" si="70"/>
        <v>3</v>
      </c>
      <c r="D136" s="77">
        <f t="shared" si="62"/>
        <v>28707.175371727448</v>
      </c>
      <c r="E136" s="77">
        <f t="shared" si="71"/>
        <v>95537.3274314065</v>
      </c>
      <c r="F136" s="97">
        <f t="shared" si="63"/>
        <v>3</v>
      </c>
      <c r="G136" s="77">
        <f t="shared" si="72"/>
        <v>8930.227298593383</v>
      </c>
      <c r="H136" s="97">
        <f t="shared" si="73"/>
        <v>3</v>
      </c>
      <c r="I136" s="77">
        <f t="shared" si="74"/>
        <v>10205.974055535295</v>
      </c>
      <c r="J136" s="77">
        <f t="shared" si="64"/>
        <v>47843.37672585613</v>
      </c>
      <c r="K136" s="77">
        <f t="shared" si="75"/>
        <v>189582.1328479212</v>
      </c>
      <c r="L136" s="71">
        <f t="shared" si="57"/>
        <v>3</v>
      </c>
      <c r="M136" s="77">
        <f t="shared" si="65"/>
        <v>26764.979174999993</v>
      </c>
      <c r="N136" s="71">
        <f t="shared" si="76"/>
        <v>0</v>
      </c>
      <c r="O136" s="97">
        <f t="shared" si="77"/>
        <v>-8930.227298593383</v>
      </c>
      <c r="P136" s="77">
        <f t="shared" si="66"/>
        <v>8930.227298593383</v>
      </c>
      <c r="Q136" s="71">
        <f t="shared" si="58"/>
        <v>3</v>
      </c>
      <c r="R136" s="77">
        <f t="shared" si="67"/>
        <v>32117.97500999999</v>
      </c>
      <c r="S136" s="71">
        <f t="shared" si="78"/>
        <v>0</v>
      </c>
      <c r="T136" s="97">
        <f t="shared" si="79"/>
        <v>-10205.974055535295</v>
      </c>
      <c r="U136" s="77">
        <f t="shared" si="80"/>
        <v>10205.974055535295</v>
      </c>
      <c r="V136" s="77">
        <f t="shared" si="59"/>
        <v>28707.175371727448</v>
      </c>
      <c r="W136" s="97">
        <f t="shared" si="60"/>
        <v>47843.37672585613</v>
      </c>
      <c r="X136" s="77">
        <f t="shared" si="81"/>
        <v>189582.1328479212</v>
      </c>
      <c r="Y136" s="77">
        <f t="shared" si="61"/>
        <v>0</v>
      </c>
    </row>
    <row r="137" spans="1:25" s="71" customFormat="1" ht="12.75">
      <c r="A137" s="71">
        <f t="shared" si="68"/>
        <v>4</v>
      </c>
      <c r="B137" s="71">
        <f t="shared" si="69"/>
        <v>4</v>
      </c>
      <c r="C137" s="71">
        <f t="shared" si="70"/>
        <v>4</v>
      </c>
      <c r="D137" s="77">
        <f t="shared" si="62"/>
        <v>32618.625911161063</v>
      </c>
      <c r="E137" s="77">
        <f t="shared" si="71"/>
        <v>128155.95334256758</v>
      </c>
      <c r="F137" s="97">
        <f t="shared" si="63"/>
        <v>4</v>
      </c>
      <c r="G137" s="77">
        <f t="shared" si="72"/>
        <v>8930.227298593383</v>
      </c>
      <c r="H137" s="97">
        <f t="shared" si="73"/>
        <v>4</v>
      </c>
      <c r="I137" s="77">
        <f t="shared" si="74"/>
        <v>10205.974055535295</v>
      </c>
      <c r="J137" s="77">
        <f t="shared" si="64"/>
        <v>51754.82726528974</v>
      </c>
      <c r="K137" s="77">
        <f t="shared" si="75"/>
        <v>241336.96011321095</v>
      </c>
      <c r="L137" s="71">
        <f t="shared" si="57"/>
        <v>4</v>
      </c>
      <c r="M137" s="77">
        <f t="shared" si="65"/>
        <v>27380.57369602499</v>
      </c>
      <c r="N137" s="71">
        <f t="shared" si="76"/>
        <v>0</v>
      </c>
      <c r="O137" s="97">
        <f t="shared" si="77"/>
        <v>-8930.227298593383</v>
      </c>
      <c r="P137" s="77">
        <f t="shared" si="66"/>
        <v>8930.227298593383</v>
      </c>
      <c r="Q137" s="71">
        <f t="shared" si="58"/>
        <v>4</v>
      </c>
      <c r="R137" s="77">
        <f t="shared" si="67"/>
        <v>32856.68843522999</v>
      </c>
      <c r="S137" s="71">
        <f t="shared" si="78"/>
        <v>0</v>
      </c>
      <c r="T137" s="97">
        <f t="shared" si="79"/>
        <v>-10205.974055535295</v>
      </c>
      <c r="U137" s="77">
        <f t="shared" si="80"/>
        <v>10205.974055535295</v>
      </c>
      <c r="V137" s="77">
        <f t="shared" si="59"/>
        <v>32618.625911161063</v>
      </c>
      <c r="W137" s="97">
        <f t="shared" si="60"/>
        <v>51754.82726528974</v>
      </c>
      <c r="X137" s="77">
        <f t="shared" si="81"/>
        <v>241336.96011321095</v>
      </c>
      <c r="Y137" s="77">
        <f t="shared" si="61"/>
        <v>0</v>
      </c>
    </row>
    <row r="138" spans="1:25" s="71" customFormat="1" ht="12.75">
      <c r="A138" s="71">
        <f t="shared" si="68"/>
        <v>5</v>
      </c>
      <c r="B138" s="71">
        <f t="shared" si="69"/>
        <v>5</v>
      </c>
      <c r="C138" s="71">
        <f t="shared" si="70"/>
        <v>5</v>
      </c>
      <c r="D138" s="77">
        <f t="shared" si="62"/>
        <v>37020.624183630294</v>
      </c>
      <c r="E138" s="77">
        <f t="shared" si="71"/>
        <v>165176.57752619789</v>
      </c>
      <c r="F138" s="97">
        <f t="shared" si="63"/>
        <v>5</v>
      </c>
      <c r="G138" s="77">
        <f t="shared" si="72"/>
        <v>8930.227298593383</v>
      </c>
      <c r="H138" s="97">
        <f t="shared" si="73"/>
        <v>5</v>
      </c>
      <c r="I138" s="77">
        <f t="shared" si="74"/>
        <v>10205.974055535295</v>
      </c>
      <c r="J138" s="77">
        <f t="shared" si="64"/>
        <v>56156.82553775897</v>
      </c>
      <c r="K138" s="77">
        <f t="shared" si="75"/>
        <v>297493.78565096995</v>
      </c>
      <c r="L138" s="71">
        <f t="shared" si="57"/>
        <v>5</v>
      </c>
      <c r="M138" s="77">
        <f t="shared" si="65"/>
        <v>28010.32689103356</v>
      </c>
      <c r="N138" s="71">
        <f t="shared" si="76"/>
        <v>0</v>
      </c>
      <c r="O138" s="97">
        <f t="shared" si="77"/>
        <v>-8930.227298593383</v>
      </c>
      <c r="P138" s="77">
        <f t="shared" si="66"/>
        <v>8930.227298593383</v>
      </c>
      <c r="Q138" s="71">
        <f t="shared" si="58"/>
        <v>5</v>
      </c>
      <c r="R138" s="77">
        <f t="shared" si="67"/>
        <v>33612.39226924027</v>
      </c>
      <c r="S138" s="71">
        <f t="shared" si="78"/>
        <v>0</v>
      </c>
      <c r="T138" s="97">
        <f t="shared" si="79"/>
        <v>-10205.974055535295</v>
      </c>
      <c r="U138" s="77">
        <f t="shared" si="80"/>
        <v>10205.974055535295</v>
      </c>
      <c r="V138" s="77">
        <f t="shared" si="59"/>
        <v>37020.624183630294</v>
      </c>
      <c r="W138" s="97">
        <f t="shared" si="60"/>
        <v>56156.825537758974</v>
      </c>
      <c r="X138" s="77">
        <f t="shared" si="81"/>
        <v>297493.78565096995</v>
      </c>
      <c r="Y138" s="77">
        <f t="shared" si="61"/>
        <v>0</v>
      </c>
    </row>
    <row r="139" spans="1:25" s="71" customFormat="1" ht="12.75">
      <c r="A139" s="71">
        <f t="shared" si="68"/>
        <v>6</v>
      </c>
      <c r="B139" s="71">
        <f t="shared" si="69"/>
        <v>6</v>
      </c>
      <c r="C139" s="71">
        <f t="shared" si="70"/>
        <v>6</v>
      </c>
      <c r="D139" s="77">
        <f t="shared" si="62"/>
        <v>41968.55500554553</v>
      </c>
      <c r="E139" s="77">
        <f t="shared" si="71"/>
        <v>207145.1325317434</v>
      </c>
      <c r="F139" s="97">
        <f t="shared" si="63"/>
        <v>6</v>
      </c>
      <c r="G139" s="77">
        <f t="shared" si="72"/>
        <v>8930.227298593383</v>
      </c>
      <c r="H139" s="97">
        <f t="shared" si="73"/>
        <v>6</v>
      </c>
      <c r="I139" s="77">
        <f t="shared" si="74"/>
        <v>10205.974055535295</v>
      </c>
      <c r="J139" s="77">
        <f t="shared" si="64"/>
        <v>61104.75635967421</v>
      </c>
      <c r="K139" s="77">
        <f t="shared" si="75"/>
        <v>358598.54201064416</v>
      </c>
      <c r="L139" s="71">
        <f t="shared" si="57"/>
        <v>6</v>
      </c>
      <c r="M139" s="77">
        <f t="shared" si="65"/>
        <v>28654.564409527335</v>
      </c>
      <c r="N139" s="71">
        <f t="shared" si="76"/>
        <v>0</v>
      </c>
      <c r="O139" s="97">
        <f t="shared" si="77"/>
        <v>-8930.227298593383</v>
      </c>
      <c r="P139" s="77">
        <f t="shared" si="66"/>
        <v>8930.227298593383</v>
      </c>
      <c r="Q139" s="71">
        <f t="shared" si="58"/>
        <v>6</v>
      </c>
      <c r="R139" s="77">
        <f t="shared" si="67"/>
        <v>34385.4772914328</v>
      </c>
      <c r="S139" s="71">
        <f t="shared" si="78"/>
        <v>0</v>
      </c>
      <c r="T139" s="97">
        <f t="shared" si="79"/>
        <v>-10205.974055535295</v>
      </c>
      <c r="U139" s="77">
        <f t="shared" si="80"/>
        <v>10205.974055535295</v>
      </c>
      <c r="V139" s="77">
        <f t="shared" si="59"/>
        <v>41968.55500554553</v>
      </c>
      <c r="W139" s="97">
        <f t="shared" si="60"/>
        <v>61104.75635967421</v>
      </c>
      <c r="X139" s="77">
        <f t="shared" si="81"/>
        <v>358598.54201064416</v>
      </c>
      <c r="Y139" s="77">
        <f t="shared" si="61"/>
        <v>0</v>
      </c>
    </row>
    <row r="140" spans="1:25" s="71" customFormat="1" ht="12.75">
      <c r="A140" s="71">
        <f t="shared" si="68"/>
        <v>7</v>
      </c>
      <c r="B140" s="71">
        <f t="shared" si="69"/>
        <v>7</v>
      </c>
      <c r="C140" s="71">
        <f t="shared" si="70"/>
        <v>7</v>
      </c>
      <c r="D140" s="77">
        <f t="shared" si="62"/>
        <v>47523.21669745596</v>
      </c>
      <c r="E140" s="77">
        <f t="shared" si="71"/>
        <v>254668.34922919938</v>
      </c>
      <c r="F140" s="97">
        <f t="shared" si="63"/>
        <v>7</v>
      </c>
      <c r="G140" s="77">
        <f t="shared" si="72"/>
        <v>0</v>
      </c>
      <c r="H140" s="97">
        <f t="shared" si="73"/>
        <v>7</v>
      </c>
      <c r="I140" s="77">
        <f t="shared" si="74"/>
        <v>0</v>
      </c>
      <c r="J140" s="77">
        <f t="shared" si="64"/>
        <v>47523.21669745596</v>
      </c>
      <c r="K140" s="77">
        <f t="shared" si="75"/>
        <v>406121.7587081001</v>
      </c>
      <c r="L140" s="71">
        <f t="shared" si="57"/>
        <v>7</v>
      </c>
      <c r="M140" s="77">
        <f t="shared" si="65"/>
        <v>29313.619390946456</v>
      </c>
      <c r="N140" s="71">
        <f t="shared" si="76"/>
        <v>0</v>
      </c>
      <c r="O140" s="97">
        <f t="shared" si="77"/>
        <v>0</v>
      </c>
      <c r="P140" s="77">
        <f t="shared" si="66"/>
        <v>0</v>
      </c>
      <c r="Q140" s="71">
        <f t="shared" si="58"/>
        <v>7</v>
      </c>
      <c r="R140" s="77">
        <f t="shared" si="67"/>
        <v>35176.343269135745</v>
      </c>
      <c r="S140" s="71">
        <f t="shared" si="78"/>
        <v>0</v>
      </c>
      <c r="T140" s="97">
        <f t="shared" si="79"/>
        <v>0</v>
      </c>
      <c r="U140" s="77">
        <f t="shared" si="80"/>
        <v>0</v>
      </c>
      <c r="V140" s="77">
        <f t="shared" si="59"/>
        <v>47523.21669745596</v>
      </c>
      <c r="W140" s="97">
        <f t="shared" si="60"/>
        <v>47523.21669745596</v>
      </c>
      <c r="X140" s="77">
        <f t="shared" si="81"/>
        <v>406121.7587081001</v>
      </c>
      <c r="Y140" s="77">
        <f t="shared" si="61"/>
        <v>0</v>
      </c>
    </row>
    <row r="141" spans="1:25" s="71" customFormat="1" ht="12.75">
      <c r="A141" s="71">
        <f t="shared" si="68"/>
        <v>8</v>
      </c>
      <c r="B141" s="71">
        <f t="shared" si="69"/>
        <v>0</v>
      </c>
      <c r="C141" s="71">
        <f t="shared" si="70"/>
        <v>8</v>
      </c>
      <c r="D141" s="77">
        <f t="shared" si="62"/>
        <v>53751.24160883287</v>
      </c>
      <c r="E141" s="77">
        <f t="shared" si="71"/>
        <v>308419.59083803225</v>
      </c>
      <c r="F141" s="97">
        <f t="shared" si="63"/>
        <v>1000</v>
      </c>
      <c r="G141" s="77">
        <f t="shared" si="72"/>
        <v>0</v>
      </c>
      <c r="H141" s="97">
        <f t="shared" si="73"/>
        <v>8</v>
      </c>
      <c r="I141" s="77">
        <f t="shared" si="74"/>
        <v>0</v>
      </c>
      <c r="J141" s="77">
        <f t="shared" si="64"/>
        <v>53751.24160883287</v>
      </c>
      <c r="K141" s="77">
        <f t="shared" si="75"/>
        <v>459873.000316933</v>
      </c>
      <c r="L141" s="71">
        <f t="shared" si="57"/>
        <v>0</v>
      </c>
      <c r="M141" s="77">
        <f t="shared" si="65"/>
        <v>29987.832636938223</v>
      </c>
      <c r="N141" s="71">
        <f t="shared" si="76"/>
        <v>1</v>
      </c>
      <c r="O141" s="97">
        <f t="shared" si="77"/>
        <v>-11475.511822890569</v>
      </c>
      <c r="P141" s="77">
        <f t="shared" si="66"/>
        <v>18975.51182289057</v>
      </c>
      <c r="Q141" s="71">
        <f t="shared" si="58"/>
        <v>8</v>
      </c>
      <c r="R141" s="77">
        <f t="shared" si="67"/>
        <v>35985.39916432586</v>
      </c>
      <c r="S141" s="71">
        <f t="shared" si="78"/>
        <v>0</v>
      </c>
      <c r="T141" s="97">
        <f t="shared" si="79"/>
        <v>0</v>
      </c>
      <c r="U141" s="77">
        <f t="shared" si="80"/>
        <v>0</v>
      </c>
      <c r="V141" s="77">
        <f t="shared" si="59"/>
        <v>31206.872507394684</v>
      </c>
      <c r="W141" s="97">
        <f t="shared" si="60"/>
        <v>50182.384330285255</v>
      </c>
      <c r="X141" s="77">
        <f t="shared" si="81"/>
        <v>456304.1430383854</v>
      </c>
      <c r="Y141" s="77">
        <f t="shared" si="61"/>
        <v>3568.8572785476135</v>
      </c>
    </row>
    <row r="142" spans="1:25" s="71" customFormat="1" ht="12.75">
      <c r="A142" s="71">
        <f t="shared" si="68"/>
        <v>9</v>
      </c>
      <c r="B142" s="71">
        <f t="shared" si="69"/>
        <v>1</v>
      </c>
      <c r="C142" s="71">
        <f t="shared" si="70"/>
        <v>9</v>
      </c>
      <c r="D142" s="77">
        <f t="shared" si="62"/>
        <v>60725.53584709984</v>
      </c>
      <c r="E142" s="77">
        <f t="shared" si="71"/>
        <v>369145.1266851321</v>
      </c>
      <c r="F142" s="97">
        <f t="shared" si="63"/>
        <v>1000</v>
      </c>
      <c r="G142" s="77">
        <f t="shared" si="72"/>
        <v>0</v>
      </c>
      <c r="H142" s="97">
        <f t="shared" si="73"/>
        <v>9</v>
      </c>
      <c r="I142" s="77">
        <f t="shared" si="74"/>
        <v>0</v>
      </c>
      <c r="J142" s="77">
        <f t="shared" si="64"/>
        <v>60725.53584709984</v>
      </c>
      <c r="K142" s="77">
        <f t="shared" si="75"/>
        <v>520598.5361640328</v>
      </c>
      <c r="L142" s="71">
        <f t="shared" si="57"/>
        <v>1</v>
      </c>
      <c r="M142" s="77">
        <f t="shared" si="65"/>
        <v>30677.552787587796</v>
      </c>
      <c r="N142" s="71">
        <f t="shared" si="76"/>
        <v>0</v>
      </c>
      <c r="O142" s="97">
        <f t="shared" si="77"/>
        <v>-11475.511822890569</v>
      </c>
      <c r="P142" s="77">
        <f t="shared" si="66"/>
        <v>11475.511822890569</v>
      </c>
      <c r="Q142" s="71">
        <f t="shared" si="58"/>
        <v>9</v>
      </c>
      <c r="R142" s="77">
        <f t="shared" si="67"/>
        <v>36813.06334510536</v>
      </c>
      <c r="S142" s="71">
        <f t="shared" si="78"/>
        <v>0</v>
      </c>
      <c r="T142" s="97">
        <f t="shared" si="79"/>
        <v>0</v>
      </c>
      <c r="U142" s="77">
        <f t="shared" si="80"/>
        <v>0</v>
      </c>
      <c r="V142" s="77">
        <f t="shared" si="59"/>
        <v>35609.33819523023</v>
      </c>
      <c r="W142" s="97">
        <f t="shared" si="60"/>
        <v>47084.8500181208</v>
      </c>
      <c r="X142" s="77">
        <f t="shared" si="81"/>
        <v>503388.99305650615</v>
      </c>
      <c r="Y142" s="77">
        <f t="shared" si="61"/>
        <v>13640.68582897904</v>
      </c>
    </row>
    <row r="143" spans="1:25" s="71" customFormat="1" ht="12.75">
      <c r="A143" s="71">
        <f t="shared" si="68"/>
        <v>10</v>
      </c>
      <c r="B143" s="71">
        <f t="shared" si="69"/>
        <v>2</v>
      </c>
      <c r="C143" s="71">
        <f t="shared" si="70"/>
        <v>10</v>
      </c>
      <c r="D143" s="77">
        <f t="shared" si="62"/>
        <v>68525.73737310736</v>
      </c>
      <c r="E143" s="77">
        <f t="shared" si="71"/>
        <v>437670.86405823944</v>
      </c>
      <c r="F143" s="97">
        <f t="shared" si="63"/>
        <v>1000</v>
      </c>
      <c r="G143" s="77">
        <f t="shared" si="72"/>
        <v>0</v>
      </c>
      <c r="H143" s="97">
        <f t="shared" si="73"/>
        <v>10</v>
      </c>
      <c r="I143" s="77">
        <f t="shared" si="74"/>
        <v>0</v>
      </c>
      <c r="J143" s="77">
        <f t="shared" si="64"/>
        <v>68525.73737310736</v>
      </c>
      <c r="K143" s="77">
        <f t="shared" si="75"/>
        <v>589124.2735371402</v>
      </c>
      <c r="L143" s="71">
        <f t="shared" si="57"/>
        <v>2</v>
      </c>
      <c r="M143" s="77">
        <f t="shared" si="65"/>
        <v>31383.136501702313</v>
      </c>
      <c r="N143" s="71">
        <f t="shared" si="76"/>
        <v>0</v>
      </c>
      <c r="O143" s="97">
        <f t="shared" si="77"/>
        <v>-11475.511822890569</v>
      </c>
      <c r="P143" s="77">
        <f t="shared" si="66"/>
        <v>11475.511822890569</v>
      </c>
      <c r="Q143" s="71">
        <f t="shared" si="58"/>
        <v>10</v>
      </c>
      <c r="R143" s="77">
        <f t="shared" si="67"/>
        <v>37659.76380204278</v>
      </c>
      <c r="S143" s="71">
        <f t="shared" si="78"/>
        <v>0</v>
      </c>
      <c r="T143" s="97">
        <f t="shared" si="79"/>
        <v>0</v>
      </c>
      <c r="U143" s="77">
        <f t="shared" si="80"/>
        <v>0</v>
      </c>
      <c r="V143" s="77">
        <f t="shared" si="59"/>
        <v>40586.58114891599</v>
      </c>
      <c r="W143" s="97">
        <f t="shared" si="60"/>
        <v>52062.09297180656</v>
      </c>
      <c r="X143" s="77">
        <f t="shared" si="81"/>
        <v>555451.0860283127</v>
      </c>
      <c r="Y143" s="77">
        <f t="shared" si="61"/>
        <v>16463.6444013008</v>
      </c>
    </row>
    <row r="144" spans="1:25" s="71" customFormat="1" ht="12.75">
      <c r="A144" s="71">
        <f t="shared" si="68"/>
        <v>11</v>
      </c>
      <c r="B144" s="71">
        <f t="shared" si="69"/>
        <v>3</v>
      </c>
      <c r="C144" s="71">
        <f t="shared" si="70"/>
        <v>11</v>
      </c>
      <c r="D144" s="77">
        <f t="shared" si="62"/>
        <v>77238.69134142715</v>
      </c>
      <c r="E144" s="77">
        <f t="shared" si="71"/>
        <v>514909.5553996666</v>
      </c>
      <c r="F144" s="97">
        <f t="shared" si="63"/>
        <v>1000</v>
      </c>
      <c r="G144" s="77">
        <f t="shared" si="72"/>
        <v>0</v>
      </c>
      <c r="H144" s="97">
        <f t="shared" si="73"/>
        <v>11</v>
      </c>
      <c r="I144" s="77">
        <f t="shared" si="74"/>
        <v>0</v>
      </c>
      <c r="J144" s="77">
        <f t="shared" si="64"/>
        <v>77238.69134142715</v>
      </c>
      <c r="K144" s="77">
        <f t="shared" si="75"/>
        <v>666362.9648785674</v>
      </c>
      <c r="L144" s="71">
        <f t="shared" si="57"/>
        <v>3</v>
      </c>
      <c r="M144" s="77">
        <f t="shared" si="65"/>
        <v>32104.948641241466</v>
      </c>
      <c r="N144" s="71">
        <f t="shared" si="76"/>
        <v>0</v>
      </c>
      <c r="O144" s="97">
        <f t="shared" si="77"/>
        <v>-11475.511822890569</v>
      </c>
      <c r="P144" s="77">
        <f t="shared" si="66"/>
        <v>11475.511822890569</v>
      </c>
      <c r="Q144" s="71">
        <f t="shared" si="58"/>
        <v>11</v>
      </c>
      <c r="R144" s="77">
        <f t="shared" si="67"/>
        <v>38525.938369489755</v>
      </c>
      <c r="S144" s="71">
        <f t="shared" si="78"/>
        <v>0</v>
      </c>
      <c r="T144" s="97">
        <f t="shared" si="79"/>
        <v>0</v>
      </c>
      <c r="U144" s="77">
        <f t="shared" si="80"/>
        <v>0</v>
      </c>
      <c r="V144" s="77">
        <f t="shared" si="59"/>
        <v>46206.73513106366</v>
      </c>
      <c r="W144" s="97">
        <f t="shared" si="60"/>
        <v>57682.24695395423</v>
      </c>
      <c r="X144" s="77">
        <f t="shared" si="81"/>
        <v>613133.3329822669</v>
      </c>
      <c r="Y144" s="77">
        <f t="shared" si="61"/>
        <v>19556.444387472926</v>
      </c>
    </row>
    <row r="145" spans="1:25" s="71" customFormat="1" ht="12.75">
      <c r="A145" s="71">
        <f t="shared" si="68"/>
        <v>12</v>
      </c>
      <c r="B145" s="71">
        <f t="shared" si="69"/>
        <v>4</v>
      </c>
      <c r="C145" s="71">
        <f t="shared" si="70"/>
        <v>0</v>
      </c>
      <c r="D145" s="77">
        <f t="shared" si="62"/>
        <v>85339.09261257164</v>
      </c>
      <c r="E145" s="77">
        <f t="shared" si="71"/>
        <v>600248.6480122382</v>
      </c>
      <c r="F145" s="97">
        <f t="shared" si="63"/>
        <v>1000</v>
      </c>
      <c r="G145" s="77">
        <f t="shared" si="72"/>
        <v>0</v>
      </c>
      <c r="H145" s="97">
        <f t="shared" si="73"/>
        <v>1000</v>
      </c>
      <c r="I145" s="77">
        <f t="shared" si="74"/>
        <v>0</v>
      </c>
      <c r="J145" s="77">
        <f t="shared" si="64"/>
        <v>85339.09261257164</v>
      </c>
      <c r="K145" s="77">
        <f t="shared" si="75"/>
        <v>751702.057491139</v>
      </c>
      <c r="L145" s="71">
        <f t="shared" si="57"/>
        <v>4</v>
      </c>
      <c r="M145" s="77">
        <f t="shared" si="65"/>
        <v>32843.362459990014</v>
      </c>
      <c r="N145" s="71">
        <f t="shared" si="76"/>
        <v>0</v>
      </c>
      <c r="O145" s="97">
        <f t="shared" si="77"/>
        <v>-11475.511822890569</v>
      </c>
      <c r="P145" s="77">
        <f t="shared" si="66"/>
        <v>11475.511822890569</v>
      </c>
      <c r="Q145" s="71">
        <f t="shared" si="58"/>
        <v>0</v>
      </c>
      <c r="R145" s="77">
        <f t="shared" si="67"/>
        <v>39412.03495198802</v>
      </c>
      <c r="S145" s="71">
        <f t="shared" si="78"/>
        <v>1</v>
      </c>
      <c r="T145" s="97">
        <f t="shared" si="79"/>
        <v>-15008.923282024349</v>
      </c>
      <c r="U145" s="77">
        <f t="shared" si="80"/>
        <v>20205.974055535295</v>
      </c>
      <c r="V145" s="77">
        <f t="shared" si="59"/>
        <v>46265.53549202101</v>
      </c>
      <c r="W145" s="97">
        <f t="shared" si="60"/>
        <v>77947.02137044686</v>
      </c>
      <c r="X145" s="77">
        <f t="shared" si="81"/>
        <v>691080.3543527138</v>
      </c>
      <c r="Y145" s="77">
        <f t="shared" si="61"/>
        <v>7392.071242124774</v>
      </c>
    </row>
    <row r="146" spans="1:25" s="71" customFormat="1" ht="12.75">
      <c r="A146" s="71">
        <f t="shared" si="68"/>
        <v>13</v>
      </c>
      <c r="B146" s="71">
        <f t="shared" si="69"/>
        <v>5</v>
      </c>
      <c r="C146" s="71">
        <f t="shared" si="70"/>
        <v>1</v>
      </c>
      <c r="D146" s="77">
        <f t="shared" si="62"/>
        <v>89606.0472432002</v>
      </c>
      <c r="E146" s="77">
        <f t="shared" si="71"/>
        <v>689854.6952554384</v>
      </c>
      <c r="F146" s="97">
        <f t="shared" si="63"/>
        <v>1000</v>
      </c>
      <c r="G146" s="77">
        <f t="shared" si="72"/>
        <v>0</v>
      </c>
      <c r="H146" s="97">
        <f t="shared" si="73"/>
        <v>1000</v>
      </c>
      <c r="I146" s="77">
        <f t="shared" si="74"/>
        <v>0</v>
      </c>
      <c r="J146" s="77">
        <f t="shared" si="64"/>
        <v>89606.0472432002</v>
      </c>
      <c r="K146" s="77">
        <f t="shared" si="75"/>
        <v>841308.1047343393</v>
      </c>
      <c r="L146" s="71">
        <f t="shared" si="57"/>
        <v>5</v>
      </c>
      <c r="M146" s="77">
        <f t="shared" si="65"/>
        <v>33598.759796569786</v>
      </c>
      <c r="N146" s="71">
        <f t="shared" si="76"/>
        <v>0</v>
      </c>
      <c r="O146" s="97">
        <f t="shared" si="77"/>
        <v>-11475.511822890569</v>
      </c>
      <c r="P146" s="77">
        <f t="shared" si="66"/>
        <v>11475.511822890569</v>
      </c>
      <c r="Q146" s="71">
        <f t="shared" si="58"/>
        <v>1</v>
      </c>
      <c r="R146" s="77">
        <f t="shared" si="67"/>
        <v>40318.51175588374</v>
      </c>
      <c r="S146" s="71">
        <f t="shared" si="78"/>
        <v>0</v>
      </c>
      <c r="T146" s="97">
        <f t="shared" si="79"/>
        <v>-15008.923282024349</v>
      </c>
      <c r="U146" s="77">
        <f t="shared" si="80"/>
        <v>10205.974055535295</v>
      </c>
      <c r="V146" s="77">
        <f t="shared" si="59"/>
        <v>52488.01635137716</v>
      </c>
      <c r="W146" s="97">
        <f t="shared" si="60"/>
        <v>74169.50222980302</v>
      </c>
      <c r="X146" s="77">
        <f t="shared" si="81"/>
        <v>765249.8565825168</v>
      </c>
      <c r="Y146" s="77">
        <f t="shared" si="61"/>
        <v>15436.545013397175</v>
      </c>
    </row>
    <row r="147" spans="1:25" s="71" customFormat="1" ht="12.75">
      <c r="A147" s="71">
        <f t="shared" si="68"/>
        <v>14</v>
      </c>
      <c r="B147" s="71">
        <f t="shared" si="69"/>
        <v>6</v>
      </c>
      <c r="C147" s="71">
        <f t="shared" si="70"/>
        <v>2</v>
      </c>
      <c r="D147" s="77">
        <f t="shared" si="62"/>
        <v>94086.34960536023</v>
      </c>
      <c r="E147" s="77">
        <f t="shared" si="71"/>
        <v>783941.0448607986</v>
      </c>
      <c r="F147" s="97">
        <f t="shared" si="63"/>
        <v>1000</v>
      </c>
      <c r="G147" s="77">
        <f t="shared" si="72"/>
        <v>0</v>
      </c>
      <c r="H147" s="97">
        <f t="shared" si="73"/>
        <v>1000</v>
      </c>
      <c r="I147" s="77">
        <f t="shared" si="74"/>
        <v>0</v>
      </c>
      <c r="J147" s="77">
        <f t="shared" si="64"/>
        <v>94086.34960536023</v>
      </c>
      <c r="K147" s="77">
        <f t="shared" si="75"/>
        <v>935394.4543396995</v>
      </c>
      <c r="L147" s="71">
        <f t="shared" si="57"/>
        <v>6</v>
      </c>
      <c r="M147" s="77">
        <f t="shared" si="65"/>
        <v>34371.53127189089</v>
      </c>
      <c r="N147" s="71">
        <f t="shared" si="76"/>
        <v>0</v>
      </c>
      <c r="O147" s="97">
        <f t="shared" si="77"/>
        <v>-11475.511822890569</v>
      </c>
      <c r="P147" s="77">
        <f t="shared" si="66"/>
        <v>11475.511822890569</v>
      </c>
      <c r="Q147" s="71">
        <f t="shared" si="58"/>
        <v>2</v>
      </c>
      <c r="R147" s="77">
        <f t="shared" si="67"/>
        <v>41245.83752626907</v>
      </c>
      <c r="S147" s="71">
        <f t="shared" si="78"/>
        <v>0</v>
      </c>
      <c r="T147" s="97">
        <f t="shared" si="79"/>
        <v>-15008.923282024349</v>
      </c>
      <c r="U147" s="77">
        <f t="shared" si="80"/>
        <v>10205.974055535295</v>
      </c>
      <c r="V147" s="77">
        <f t="shared" si="59"/>
        <v>59479.17197914674</v>
      </c>
      <c r="W147" s="97">
        <f t="shared" si="60"/>
        <v>81160.6578575726</v>
      </c>
      <c r="X147" s="77">
        <f t="shared" si="81"/>
        <v>846410.5144400895</v>
      </c>
      <c r="Y147" s="77">
        <f t="shared" si="61"/>
        <v>12925.691747787627</v>
      </c>
    </row>
    <row r="148" spans="1:25" s="71" customFormat="1" ht="12.75">
      <c r="A148" s="71">
        <f t="shared" si="68"/>
        <v>15</v>
      </c>
      <c r="B148" s="71">
        <f t="shared" si="69"/>
        <v>7</v>
      </c>
      <c r="C148" s="71">
        <f t="shared" si="70"/>
        <v>3</v>
      </c>
      <c r="D148" s="77">
        <f t="shared" si="62"/>
        <v>98790.66708562824</v>
      </c>
      <c r="E148" s="77">
        <f t="shared" si="71"/>
        <v>882731.7119464269</v>
      </c>
      <c r="F148" s="97">
        <f t="shared" si="63"/>
        <v>1000</v>
      </c>
      <c r="G148" s="77">
        <f t="shared" si="72"/>
        <v>0</v>
      </c>
      <c r="H148" s="97">
        <f t="shared" si="73"/>
        <v>1000</v>
      </c>
      <c r="I148" s="77">
        <f t="shared" si="74"/>
        <v>0</v>
      </c>
      <c r="J148" s="77">
        <f t="shared" si="64"/>
        <v>98790.66708562824</v>
      </c>
      <c r="K148" s="77">
        <f t="shared" si="75"/>
        <v>1034185.1214253277</v>
      </c>
      <c r="L148" s="71">
        <f t="shared" si="57"/>
        <v>7</v>
      </c>
      <c r="M148" s="77">
        <f t="shared" si="65"/>
        <v>35162.07649114437</v>
      </c>
      <c r="N148" s="71">
        <f t="shared" si="76"/>
        <v>0</v>
      </c>
      <c r="O148" s="97">
        <f t="shared" si="77"/>
        <v>0</v>
      </c>
      <c r="P148" s="77">
        <f t="shared" si="66"/>
        <v>0</v>
      </c>
      <c r="Q148" s="71">
        <f t="shared" si="58"/>
        <v>3</v>
      </c>
      <c r="R148" s="77">
        <f t="shared" si="67"/>
        <v>42194.49178937324</v>
      </c>
      <c r="S148" s="71">
        <f t="shared" si="78"/>
        <v>0</v>
      </c>
      <c r="T148" s="97">
        <f t="shared" si="79"/>
        <v>-15008.923282024349</v>
      </c>
      <c r="U148" s="77">
        <f t="shared" si="80"/>
        <v>10205.974055535295</v>
      </c>
      <c r="V148" s="77">
        <f t="shared" si="59"/>
        <v>67324.19713764098</v>
      </c>
      <c r="W148" s="97">
        <f t="shared" si="60"/>
        <v>77530.17119317627</v>
      </c>
      <c r="X148" s="77">
        <f t="shared" si="81"/>
        <v>923940.6856332658</v>
      </c>
      <c r="Y148" s="77">
        <f t="shared" si="61"/>
        <v>21260.495892451974</v>
      </c>
    </row>
    <row r="149" spans="1:25" s="71" customFormat="1" ht="12.75">
      <c r="A149" s="71">
        <f t="shared" si="68"/>
        <v>16</v>
      </c>
      <c r="B149" s="71">
        <f t="shared" si="69"/>
        <v>0</v>
      </c>
      <c r="C149" s="71">
        <f t="shared" si="70"/>
        <v>4</v>
      </c>
      <c r="D149" s="77">
        <f t="shared" si="62"/>
        <v>103730.20043990966</v>
      </c>
      <c r="E149" s="77">
        <f t="shared" si="71"/>
        <v>986461.9123863366</v>
      </c>
      <c r="F149" s="97">
        <f t="shared" si="63"/>
        <v>1000</v>
      </c>
      <c r="G149" s="77">
        <f t="shared" si="72"/>
        <v>0</v>
      </c>
      <c r="H149" s="97">
        <f t="shared" si="73"/>
        <v>1000</v>
      </c>
      <c r="I149" s="77">
        <f t="shared" si="74"/>
        <v>0</v>
      </c>
      <c r="J149" s="77">
        <f t="shared" si="64"/>
        <v>103730.20043990966</v>
      </c>
      <c r="K149" s="77">
        <f t="shared" si="75"/>
        <v>1137915.3218652373</v>
      </c>
      <c r="L149" s="71">
        <f t="shared" si="57"/>
        <v>0</v>
      </c>
      <c r="M149" s="77">
        <f t="shared" si="65"/>
        <v>35970.804250440684</v>
      </c>
      <c r="N149" s="71">
        <f t="shared" si="76"/>
        <v>1</v>
      </c>
      <c r="O149" s="97">
        <f t="shared" si="77"/>
        <v>-14528.61447601108</v>
      </c>
      <c r="P149" s="77">
        <f t="shared" si="66"/>
        <v>22028.61447601108</v>
      </c>
      <c r="Q149" s="71">
        <f t="shared" si="58"/>
        <v>4</v>
      </c>
      <c r="R149" s="77">
        <f t="shared" si="67"/>
        <v>43164.965100528825</v>
      </c>
      <c r="S149" s="71">
        <f t="shared" si="78"/>
        <v>0</v>
      </c>
      <c r="T149" s="97">
        <f t="shared" si="79"/>
        <v>-15008.923282024349</v>
      </c>
      <c r="U149" s="77">
        <f t="shared" si="80"/>
        <v>10205.974055535295</v>
      </c>
      <c r="V149" s="77">
        <f t="shared" si="59"/>
        <v>44191.63191202865</v>
      </c>
      <c r="W149" s="97">
        <f t="shared" si="60"/>
        <v>76426.22044357503</v>
      </c>
      <c r="X149" s="77">
        <f t="shared" si="81"/>
        <v>1000366.9060768408</v>
      </c>
      <c r="Y149" s="77">
        <f t="shared" si="61"/>
        <v>27303.97999633463</v>
      </c>
    </row>
    <row r="150" spans="1:25" s="71" customFormat="1" ht="12.75">
      <c r="A150" s="71">
        <f t="shared" si="68"/>
        <v>17</v>
      </c>
      <c r="B150" s="71">
        <f t="shared" si="69"/>
        <v>1</v>
      </c>
      <c r="C150" s="71">
        <f t="shared" si="70"/>
        <v>5</v>
      </c>
      <c r="D150" s="77">
        <f t="shared" si="62"/>
        <v>108916.71046190515</v>
      </c>
      <c r="E150" s="77">
        <f t="shared" si="71"/>
        <v>1095378.6228482418</v>
      </c>
      <c r="F150" s="97">
        <f t="shared" si="63"/>
        <v>1000</v>
      </c>
      <c r="G150" s="77">
        <f t="shared" si="72"/>
        <v>0</v>
      </c>
      <c r="H150" s="97">
        <f t="shared" si="73"/>
        <v>1000</v>
      </c>
      <c r="I150" s="77">
        <f t="shared" si="74"/>
        <v>0</v>
      </c>
      <c r="J150" s="77">
        <f t="shared" si="64"/>
        <v>108916.71046190515</v>
      </c>
      <c r="K150" s="77">
        <f t="shared" si="75"/>
        <v>1246832.0323271425</v>
      </c>
      <c r="L150" s="71">
        <f t="shared" si="57"/>
        <v>1</v>
      </c>
      <c r="M150" s="77">
        <f t="shared" si="65"/>
        <v>36798.13274820082</v>
      </c>
      <c r="N150" s="71">
        <f t="shared" si="76"/>
        <v>0</v>
      </c>
      <c r="O150" s="97">
        <f t="shared" si="77"/>
        <v>-14528.61447601108</v>
      </c>
      <c r="P150" s="77">
        <f t="shared" si="66"/>
        <v>14528.61447601108</v>
      </c>
      <c r="Q150" s="71">
        <f t="shared" si="58"/>
        <v>5</v>
      </c>
      <c r="R150" s="77">
        <f t="shared" si="67"/>
        <v>44157.75929784098</v>
      </c>
      <c r="S150" s="71">
        <f t="shared" si="78"/>
        <v>0</v>
      </c>
      <c r="T150" s="97">
        <f t="shared" si="79"/>
        <v>-15008.923282024349</v>
      </c>
      <c r="U150" s="77">
        <f t="shared" si="80"/>
        <v>10205.974055535295</v>
      </c>
      <c r="V150" s="77">
        <f t="shared" si="59"/>
        <v>50405.52194897163</v>
      </c>
      <c r="W150" s="97">
        <f t="shared" si="60"/>
        <v>75140.11048051801</v>
      </c>
      <c r="X150" s="77">
        <f t="shared" si="81"/>
        <v>1075507.016557359</v>
      </c>
      <c r="Y150" s="77">
        <f t="shared" si="61"/>
        <v>33776.599981387146</v>
      </c>
    </row>
    <row r="151" spans="1:25" s="71" customFormat="1" ht="12.75">
      <c r="A151" s="71">
        <f t="shared" si="68"/>
        <v>18</v>
      </c>
      <c r="B151" s="71">
        <f t="shared" si="69"/>
        <v>2</v>
      </c>
      <c r="C151" s="71">
        <f t="shared" si="70"/>
        <v>6</v>
      </c>
      <c r="D151" s="77">
        <f t="shared" si="62"/>
        <v>114362.54598500041</v>
      </c>
      <c r="E151" s="77">
        <f t="shared" si="71"/>
        <v>1209741.1688332423</v>
      </c>
      <c r="F151" s="97">
        <f t="shared" si="63"/>
        <v>1000</v>
      </c>
      <c r="G151" s="77">
        <f t="shared" si="72"/>
        <v>0</v>
      </c>
      <c r="H151" s="97">
        <f t="shared" si="73"/>
        <v>1000</v>
      </c>
      <c r="I151" s="77">
        <f t="shared" si="74"/>
        <v>0</v>
      </c>
      <c r="J151" s="77">
        <f t="shared" si="64"/>
        <v>114362.54598500041</v>
      </c>
      <c r="K151" s="77">
        <f t="shared" si="75"/>
        <v>1361194.578312143</v>
      </c>
      <c r="L151" s="71">
        <f t="shared" si="57"/>
        <v>2</v>
      </c>
      <c r="M151" s="77">
        <f t="shared" si="65"/>
        <v>37644.489801409436</v>
      </c>
      <c r="N151" s="71">
        <f t="shared" si="76"/>
        <v>0</v>
      </c>
      <c r="O151" s="97">
        <f t="shared" si="77"/>
        <v>-14528.61447601108</v>
      </c>
      <c r="P151" s="77">
        <f t="shared" si="66"/>
        <v>14528.61447601108</v>
      </c>
      <c r="Q151" s="71">
        <f t="shared" si="58"/>
        <v>6</v>
      </c>
      <c r="R151" s="77">
        <f t="shared" si="67"/>
        <v>45173.38776169132</v>
      </c>
      <c r="S151" s="71">
        <f t="shared" si="78"/>
        <v>0</v>
      </c>
      <c r="T151" s="97">
        <f t="shared" si="79"/>
        <v>-15008.923282024349</v>
      </c>
      <c r="U151" s="77">
        <f t="shared" si="80"/>
        <v>10205.974055535295</v>
      </c>
      <c r="V151" s="77">
        <f t="shared" si="59"/>
        <v>57427.65555247415</v>
      </c>
      <c r="W151" s="97">
        <f t="shared" si="60"/>
        <v>82162.24408402052</v>
      </c>
      <c r="X151" s="77">
        <f t="shared" si="81"/>
        <v>1157669.2606413795</v>
      </c>
      <c r="Y151" s="77">
        <f t="shared" si="61"/>
        <v>32200.301900979888</v>
      </c>
    </row>
    <row r="152" spans="1:25" s="71" customFormat="1" ht="12.75">
      <c r="A152" s="71">
        <f t="shared" si="68"/>
        <v>19</v>
      </c>
      <c r="B152" s="71">
        <f t="shared" si="69"/>
        <v>3</v>
      </c>
      <c r="C152" s="71">
        <f t="shared" si="70"/>
        <v>7</v>
      </c>
      <c r="D152" s="77">
        <f t="shared" si="62"/>
        <v>120080.67328425043</v>
      </c>
      <c r="E152" s="77">
        <f t="shared" si="71"/>
        <v>1329821.8421174926</v>
      </c>
      <c r="F152" s="97">
        <f t="shared" si="63"/>
        <v>1000</v>
      </c>
      <c r="G152" s="77">
        <f t="shared" si="72"/>
        <v>0</v>
      </c>
      <c r="H152" s="97">
        <f t="shared" si="73"/>
        <v>1000</v>
      </c>
      <c r="I152" s="77">
        <f t="shared" si="74"/>
        <v>0</v>
      </c>
      <c r="J152" s="77">
        <f t="shared" si="64"/>
        <v>120080.67328425043</v>
      </c>
      <c r="K152" s="77">
        <f t="shared" si="75"/>
        <v>1481275.2515963935</v>
      </c>
      <c r="L152" s="71">
        <f t="shared" si="57"/>
        <v>3</v>
      </c>
      <c r="M152" s="77">
        <f t="shared" si="65"/>
        <v>38510.313066841845</v>
      </c>
      <c r="N152" s="71">
        <f t="shared" si="76"/>
        <v>0</v>
      </c>
      <c r="O152" s="97">
        <f t="shared" si="77"/>
        <v>-14528.61447601108</v>
      </c>
      <c r="P152" s="77">
        <f t="shared" si="66"/>
        <v>14528.61447601108</v>
      </c>
      <c r="Q152" s="71">
        <f t="shared" si="58"/>
        <v>7</v>
      </c>
      <c r="R152" s="77">
        <f t="shared" si="67"/>
        <v>46212.375680210214</v>
      </c>
      <c r="S152" s="71">
        <f t="shared" si="78"/>
        <v>0</v>
      </c>
      <c r="T152" s="97">
        <f t="shared" si="79"/>
        <v>0</v>
      </c>
      <c r="U152" s="77">
        <f t="shared" si="80"/>
        <v>0</v>
      </c>
      <c r="V152" s="77">
        <f t="shared" si="59"/>
        <v>65353.414967968754</v>
      </c>
      <c r="W152" s="97">
        <f t="shared" si="60"/>
        <v>79882.02944397983</v>
      </c>
      <c r="X152" s="77">
        <f t="shared" si="81"/>
        <v>1237551.2900853592</v>
      </c>
      <c r="Y152" s="77">
        <f t="shared" si="61"/>
        <v>40198.6438402706</v>
      </c>
    </row>
    <row r="153" spans="1:25" s="71" customFormat="1" ht="12.75">
      <c r="A153" s="71">
        <f t="shared" si="68"/>
        <v>20</v>
      </c>
      <c r="B153" s="71">
        <f t="shared" si="69"/>
        <v>4</v>
      </c>
      <c r="C153" s="71">
        <f t="shared" si="70"/>
        <v>8</v>
      </c>
      <c r="D153" s="77">
        <f t="shared" si="62"/>
        <v>126084.70694846296</v>
      </c>
      <c r="E153" s="77">
        <f t="shared" si="71"/>
        <v>1455906.5490659554</v>
      </c>
      <c r="F153" s="97">
        <f t="shared" si="63"/>
        <v>1000</v>
      </c>
      <c r="G153" s="77">
        <f t="shared" si="72"/>
        <v>0</v>
      </c>
      <c r="H153" s="97">
        <f t="shared" si="73"/>
        <v>1000</v>
      </c>
      <c r="I153" s="77">
        <f t="shared" si="74"/>
        <v>0</v>
      </c>
      <c r="J153" s="77">
        <f t="shared" si="64"/>
        <v>126084.70694846296</v>
      </c>
      <c r="K153" s="77">
        <f t="shared" si="75"/>
        <v>1607359.9585448564</v>
      </c>
      <c r="L153" s="71">
        <f t="shared" si="57"/>
        <v>4</v>
      </c>
      <c r="M153" s="77">
        <f t="shared" si="65"/>
        <v>39396.05026737921</v>
      </c>
      <c r="N153" s="71">
        <f t="shared" si="76"/>
        <v>0</v>
      </c>
      <c r="O153" s="97">
        <f t="shared" si="77"/>
        <v>-14528.61447601108</v>
      </c>
      <c r="P153" s="77">
        <f t="shared" si="66"/>
        <v>14528.61447601108</v>
      </c>
      <c r="Q153" s="71">
        <f t="shared" si="58"/>
        <v>8</v>
      </c>
      <c r="R153" s="77">
        <f t="shared" si="67"/>
        <v>47275.26032085505</v>
      </c>
      <c r="S153" s="71">
        <f t="shared" si="78"/>
        <v>0</v>
      </c>
      <c r="T153" s="97">
        <f t="shared" si="79"/>
        <v>0</v>
      </c>
      <c r="U153" s="77">
        <f t="shared" si="80"/>
        <v>0</v>
      </c>
      <c r="V153" s="77">
        <f t="shared" si="59"/>
        <v>74288.06509878628</v>
      </c>
      <c r="W153" s="97">
        <f t="shared" si="60"/>
        <v>88816.67957479735</v>
      </c>
      <c r="X153" s="77">
        <f t="shared" si="81"/>
        <v>1326367.9696601566</v>
      </c>
      <c r="Y153" s="77">
        <f t="shared" si="61"/>
        <v>37268.02737366561</v>
      </c>
    </row>
    <row r="154" spans="1:25" s="71" customFormat="1" ht="12.75">
      <c r="A154" s="71">
        <f t="shared" si="68"/>
        <v>21</v>
      </c>
      <c r="B154" s="71">
        <f t="shared" si="69"/>
        <v>5</v>
      </c>
      <c r="C154" s="71">
        <f t="shared" si="70"/>
        <v>9</v>
      </c>
      <c r="D154" s="77">
        <f t="shared" si="62"/>
        <v>132388.94229588614</v>
      </c>
      <c r="E154" s="77">
        <f t="shared" si="71"/>
        <v>1588295.4913618416</v>
      </c>
      <c r="F154" s="97">
        <f t="shared" si="63"/>
        <v>1000</v>
      </c>
      <c r="G154" s="77">
        <f t="shared" si="72"/>
        <v>0</v>
      </c>
      <c r="H154" s="97">
        <f t="shared" si="73"/>
        <v>1000</v>
      </c>
      <c r="I154" s="77">
        <f t="shared" si="74"/>
        <v>0</v>
      </c>
      <c r="J154" s="77">
        <f t="shared" si="64"/>
        <v>132388.94229588614</v>
      </c>
      <c r="K154" s="77">
        <f t="shared" si="75"/>
        <v>1739748.9008407425</v>
      </c>
      <c r="L154" s="71">
        <f t="shared" si="57"/>
        <v>5</v>
      </c>
      <c r="M154" s="77">
        <f t="shared" si="65"/>
        <v>40302.15942352892</v>
      </c>
      <c r="N154" s="71">
        <f t="shared" si="76"/>
        <v>0</v>
      </c>
      <c r="O154" s="97">
        <f t="shared" si="77"/>
        <v>-14528.61447601108</v>
      </c>
      <c r="P154" s="77">
        <f t="shared" si="66"/>
        <v>14528.61447601108</v>
      </c>
      <c r="Q154" s="71">
        <f t="shared" si="58"/>
        <v>9</v>
      </c>
      <c r="R154" s="77">
        <f t="shared" si="67"/>
        <v>48362.5913082347</v>
      </c>
      <c r="S154" s="71">
        <f t="shared" si="78"/>
        <v>0</v>
      </c>
      <c r="T154" s="97">
        <f t="shared" si="79"/>
        <v>0</v>
      </c>
      <c r="U154" s="77">
        <f t="shared" si="80"/>
        <v>0</v>
      </c>
      <c r="V154" s="77">
        <f t="shared" si="59"/>
        <v>84347.5943345146</v>
      </c>
      <c r="W154" s="97">
        <f t="shared" si="60"/>
        <v>98876.20881052567</v>
      </c>
      <c r="X154" s="77">
        <f t="shared" si="81"/>
        <v>1425244.1784706824</v>
      </c>
      <c r="Y154" s="77">
        <f t="shared" si="61"/>
        <v>33512.73348536047</v>
      </c>
    </row>
    <row r="155" spans="1:25" s="71" customFormat="1" ht="12.75">
      <c r="A155" s="71">
        <f t="shared" si="68"/>
        <v>22</v>
      </c>
      <c r="B155" s="71">
        <f t="shared" si="69"/>
        <v>6</v>
      </c>
      <c r="C155" s="71">
        <f t="shared" si="70"/>
        <v>10</v>
      </c>
      <c r="D155" s="77">
        <f t="shared" si="62"/>
        <v>139008.38941068045</v>
      </c>
      <c r="E155" s="77">
        <f t="shared" si="71"/>
        <v>1727303.880772522</v>
      </c>
      <c r="F155" s="97">
        <f t="shared" si="63"/>
        <v>1000</v>
      </c>
      <c r="G155" s="77">
        <f t="shared" si="72"/>
        <v>0</v>
      </c>
      <c r="H155" s="97">
        <f t="shared" si="73"/>
        <v>1000</v>
      </c>
      <c r="I155" s="77">
        <f t="shared" si="74"/>
        <v>0</v>
      </c>
      <c r="J155" s="77">
        <f t="shared" si="64"/>
        <v>139008.38941068045</v>
      </c>
      <c r="K155" s="77">
        <f t="shared" si="75"/>
        <v>1878757.290251423</v>
      </c>
      <c r="L155" s="71">
        <f t="shared" si="57"/>
        <v>6</v>
      </c>
      <c r="M155" s="77">
        <f t="shared" si="65"/>
        <v>41229.10909027009</v>
      </c>
      <c r="N155" s="71">
        <f t="shared" si="76"/>
        <v>0</v>
      </c>
      <c r="O155" s="97">
        <f t="shared" si="77"/>
        <v>-14528.61447601108</v>
      </c>
      <c r="P155" s="77">
        <f t="shared" si="66"/>
        <v>14528.61447601108</v>
      </c>
      <c r="Q155" s="71">
        <f t="shared" si="58"/>
        <v>10</v>
      </c>
      <c r="R155" s="77">
        <f t="shared" si="67"/>
        <v>49474.93090832411</v>
      </c>
      <c r="S155" s="71">
        <f t="shared" si="78"/>
        <v>0</v>
      </c>
      <c r="T155" s="97">
        <f t="shared" si="79"/>
        <v>0</v>
      </c>
      <c r="U155" s="77">
        <f t="shared" si="80"/>
        <v>0</v>
      </c>
      <c r="V155" s="77">
        <f t="shared" si="59"/>
        <v>95659.60362424605</v>
      </c>
      <c r="W155" s="97">
        <f t="shared" si="60"/>
        <v>110188.21810025713</v>
      </c>
      <c r="X155" s="77">
        <f t="shared" si="81"/>
        <v>1535432.3965709396</v>
      </c>
      <c r="Y155" s="77">
        <f t="shared" si="61"/>
        <v>28820.17131042332</v>
      </c>
    </row>
    <row r="156" spans="1:25" s="71" customFormat="1" ht="12.75">
      <c r="A156" s="71">
        <f t="shared" si="68"/>
        <v>23</v>
      </c>
      <c r="B156" s="71">
        <f t="shared" si="69"/>
        <v>7</v>
      </c>
      <c r="C156" s="71">
        <f t="shared" si="70"/>
        <v>11</v>
      </c>
      <c r="D156" s="77">
        <f t="shared" si="62"/>
        <v>145958.80888121447</v>
      </c>
      <c r="E156" s="77">
        <f t="shared" si="71"/>
        <v>1873262.6896537365</v>
      </c>
      <c r="F156" s="97">
        <f t="shared" si="63"/>
        <v>1000</v>
      </c>
      <c r="G156" s="77">
        <f t="shared" si="72"/>
        <v>0</v>
      </c>
      <c r="H156" s="97">
        <f t="shared" si="73"/>
        <v>1000</v>
      </c>
      <c r="I156" s="77">
        <f t="shared" si="74"/>
        <v>0</v>
      </c>
      <c r="J156" s="77">
        <f t="shared" si="64"/>
        <v>145958.80888121447</v>
      </c>
      <c r="K156" s="77">
        <f t="shared" si="75"/>
        <v>2024716.0991326375</v>
      </c>
      <c r="L156" s="71">
        <f t="shared" si="57"/>
        <v>7</v>
      </c>
      <c r="M156" s="77">
        <f t="shared" si="65"/>
        <v>42177.37859934629</v>
      </c>
      <c r="N156" s="71">
        <f t="shared" si="76"/>
        <v>0</v>
      </c>
      <c r="O156" s="97">
        <f t="shared" si="77"/>
        <v>0</v>
      </c>
      <c r="P156" s="77">
        <f t="shared" si="66"/>
        <v>0</v>
      </c>
      <c r="Q156" s="71">
        <f t="shared" si="58"/>
        <v>11</v>
      </c>
      <c r="R156" s="77">
        <f t="shared" si="67"/>
        <v>50612.85431921555</v>
      </c>
      <c r="S156" s="71">
        <f t="shared" si="78"/>
        <v>0</v>
      </c>
      <c r="T156" s="97">
        <f t="shared" si="79"/>
        <v>0</v>
      </c>
      <c r="U156" s="77">
        <f t="shared" si="80"/>
        <v>0</v>
      </c>
      <c r="V156" s="77">
        <f t="shared" si="59"/>
        <v>108364.2436000243</v>
      </c>
      <c r="W156" s="97">
        <f t="shared" si="60"/>
        <v>108364.2436000243</v>
      </c>
      <c r="X156" s="77">
        <f t="shared" si="81"/>
        <v>1643796.640170964</v>
      </c>
      <c r="Y156" s="77">
        <f t="shared" si="61"/>
        <v>37594.56528119017</v>
      </c>
    </row>
    <row r="157" spans="1:25" s="71" customFormat="1" ht="12.75">
      <c r="A157" s="71">
        <f t="shared" si="68"/>
        <v>24</v>
      </c>
      <c r="B157" s="71">
        <f t="shared" si="69"/>
        <v>0</v>
      </c>
      <c r="C157" s="71">
        <f t="shared" si="70"/>
        <v>0</v>
      </c>
      <c r="D157" s="77">
        <f t="shared" si="62"/>
        <v>153256.74932527522</v>
      </c>
      <c r="E157" s="77">
        <f t="shared" si="71"/>
        <v>2026519.4389790117</v>
      </c>
      <c r="F157" s="97">
        <f t="shared" si="63"/>
        <v>1000</v>
      </c>
      <c r="G157" s="77">
        <f t="shared" si="72"/>
        <v>0</v>
      </c>
      <c r="H157" s="97">
        <f t="shared" si="73"/>
        <v>1000</v>
      </c>
      <c r="I157" s="77">
        <f t="shared" si="74"/>
        <v>0</v>
      </c>
      <c r="J157" s="77">
        <f t="shared" si="64"/>
        <v>153256.74932527522</v>
      </c>
      <c r="K157" s="77">
        <f t="shared" si="75"/>
        <v>2177972.848457913</v>
      </c>
      <c r="L157" s="71">
        <f t="shared" si="57"/>
        <v>0</v>
      </c>
      <c r="M157" s="77">
        <f t="shared" si="65"/>
        <v>43147.45830713125</v>
      </c>
      <c r="N157" s="71">
        <f t="shared" si="76"/>
        <v>1</v>
      </c>
      <c r="O157" s="97">
        <f t="shared" si="77"/>
        <v>-18190.851731417886</v>
      </c>
      <c r="P157" s="77">
        <f t="shared" si="66"/>
        <v>25690.851731417886</v>
      </c>
      <c r="Q157" s="71">
        <f t="shared" si="58"/>
        <v>0</v>
      </c>
      <c r="R157" s="77">
        <f t="shared" si="67"/>
        <v>51776.94996855751</v>
      </c>
      <c r="S157" s="71">
        <f t="shared" si="78"/>
        <v>1</v>
      </c>
      <c r="T157" s="97">
        <f t="shared" si="79"/>
        <v>-21318.7233749247</v>
      </c>
      <c r="U157" s="77">
        <f t="shared" si="80"/>
        <v>20205.974055535295</v>
      </c>
      <c r="V157" s="77">
        <f t="shared" si="59"/>
        <v>62680.43050754967</v>
      </c>
      <c r="W157" s="97">
        <f t="shared" si="60"/>
        <v>108577.25629450285</v>
      </c>
      <c r="X157" s="77">
        <f t="shared" si="81"/>
        <v>1752373.8964654668</v>
      </c>
      <c r="Y157" s="77">
        <f t="shared" si="61"/>
        <v>44679.49303077237</v>
      </c>
    </row>
    <row r="158" spans="5:23" s="71" customFormat="1" ht="12.75">
      <c r="E158" s="81"/>
      <c r="K158" s="77"/>
      <c r="P158" s="77"/>
      <c r="V158" s="82"/>
      <c r="W158" s="37"/>
    </row>
    <row r="159" spans="5:25" s="71" customFormat="1" ht="12.75">
      <c r="E159" s="81"/>
      <c r="K159" s="77"/>
      <c r="L159" s="71" t="s">
        <v>58</v>
      </c>
      <c r="O159" s="71" t="s">
        <v>67</v>
      </c>
      <c r="P159" s="77">
        <f>+F10+133</f>
        <v>145</v>
      </c>
      <c r="U159" s="71" t="str">
        <f>CONCATENATE("y",P159)</f>
        <v>y145</v>
      </c>
      <c r="V159" s="77"/>
      <c r="W159" s="37"/>
      <c r="X159" s="71" t="s">
        <v>105</v>
      </c>
      <c r="Y159" s="77">
        <f ca="1">SUM(Y133:INDIRECT(U159))</f>
        <v>60621.70313842515</v>
      </c>
    </row>
    <row r="160" spans="5:25" s="71" customFormat="1" ht="12.75">
      <c r="E160" s="81"/>
      <c r="K160" s="77"/>
      <c r="P160" s="77"/>
      <c r="V160" s="77"/>
      <c r="W160" s="37"/>
      <c r="Y160" s="77">
        <f>+Y159/F10</f>
        <v>5051.808594868763</v>
      </c>
    </row>
    <row r="161" spans="5:23" s="71" customFormat="1" ht="12.75">
      <c r="E161" s="81"/>
      <c r="I161" s="77"/>
      <c r="K161" s="77"/>
      <c r="L161" s="82"/>
      <c r="M161" s="37"/>
      <c r="P161" s="77"/>
      <c r="U161" s="77"/>
      <c r="W161" s="77"/>
    </row>
    <row r="162" spans="5:25" s="71" customFormat="1" ht="12.75">
      <c r="E162" s="81"/>
      <c r="G162" s="77"/>
      <c r="H162" s="82"/>
      <c r="I162" s="77"/>
      <c r="J162" s="77"/>
      <c r="K162" s="77"/>
      <c r="L162" s="77"/>
      <c r="M162" s="37"/>
      <c r="P162" s="77"/>
      <c r="Q162" s="77"/>
      <c r="R162" s="77"/>
      <c r="T162" s="77"/>
      <c r="W162" s="77"/>
      <c r="X162" s="77"/>
      <c r="Y162" s="77"/>
    </row>
    <row r="163" spans="5:25" s="71" customFormat="1" ht="12.75">
      <c r="E163" s="81"/>
      <c r="G163" s="77"/>
      <c r="H163" s="82"/>
      <c r="I163" s="77"/>
      <c r="J163" s="77"/>
      <c r="K163" s="77"/>
      <c r="L163" s="77"/>
      <c r="M163" s="37"/>
      <c r="P163" s="77"/>
      <c r="Q163" s="77"/>
      <c r="R163" s="77"/>
      <c r="T163" s="77"/>
      <c r="W163" s="77"/>
      <c r="X163" s="77"/>
      <c r="Y163" s="77"/>
    </row>
    <row r="164" spans="5:25" s="71" customFormat="1" ht="12.75">
      <c r="E164" s="81"/>
      <c r="G164" s="77"/>
      <c r="H164" s="82"/>
      <c r="I164" s="77"/>
      <c r="J164" s="77"/>
      <c r="K164" s="77"/>
      <c r="L164" s="77"/>
      <c r="M164" s="37"/>
      <c r="P164" s="77"/>
      <c r="Q164" s="77"/>
      <c r="R164" s="77"/>
      <c r="T164" s="77"/>
      <c r="W164" s="77"/>
      <c r="X164" s="77"/>
      <c r="Y164" s="77"/>
    </row>
    <row r="165" spans="5:25" s="71" customFormat="1" ht="12.75">
      <c r="E165" s="81"/>
      <c r="G165" s="77"/>
      <c r="H165" s="82"/>
      <c r="I165" s="77"/>
      <c r="J165" s="77"/>
      <c r="K165" s="77"/>
      <c r="L165" s="77"/>
      <c r="M165" s="37"/>
      <c r="P165" s="77"/>
      <c r="Q165" s="77"/>
      <c r="R165" s="77"/>
      <c r="T165" s="77"/>
      <c r="W165" s="77"/>
      <c r="X165" s="77"/>
      <c r="Y165" s="77"/>
    </row>
    <row r="166" spans="5:25" s="71" customFormat="1" ht="12.75">
      <c r="E166" s="81"/>
      <c r="G166" s="77"/>
      <c r="H166" s="82"/>
      <c r="I166" s="77"/>
      <c r="J166" s="77"/>
      <c r="K166" s="77"/>
      <c r="L166" s="77"/>
      <c r="M166" s="37"/>
      <c r="P166" s="77"/>
      <c r="Q166" s="77"/>
      <c r="R166" s="77"/>
      <c r="T166" s="77"/>
      <c r="W166" s="77"/>
      <c r="X166" s="77"/>
      <c r="Y166" s="77"/>
    </row>
    <row r="167" spans="5:25" s="71" customFormat="1" ht="12.75">
      <c r="E167" s="81"/>
      <c r="G167" s="77"/>
      <c r="H167" s="82"/>
      <c r="I167" s="77"/>
      <c r="J167" s="77"/>
      <c r="K167" s="77"/>
      <c r="L167" s="77"/>
      <c r="M167" s="37"/>
      <c r="P167" s="77"/>
      <c r="Q167" s="77"/>
      <c r="R167" s="77"/>
      <c r="T167" s="77"/>
      <c r="W167" s="77"/>
      <c r="X167" s="77"/>
      <c r="Y167" s="77"/>
    </row>
    <row r="168" spans="5:25" s="71" customFormat="1" ht="12.75">
      <c r="E168" s="81"/>
      <c r="G168" s="77"/>
      <c r="H168" s="82"/>
      <c r="I168" s="77"/>
      <c r="J168" s="77"/>
      <c r="K168" s="77"/>
      <c r="L168" s="77"/>
      <c r="M168" s="37"/>
      <c r="P168" s="77"/>
      <c r="Q168" s="77"/>
      <c r="R168" s="77"/>
      <c r="T168" s="77"/>
      <c r="W168" s="77"/>
      <c r="X168" s="77"/>
      <c r="Y168" s="77"/>
    </row>
    <row r="169" spans="5:25" s="71" customFormat="1" ht="12.75">
      <c r="E169" s="81"/>
      <c r="G169" s="77"/>
      <c r="H169" s="82"/>
      <c r="I169" s="77"/>
      <c r="J169" s="77"/>
      <c r="K169" s="77"/>
      <c r="L169" s="77"/>
      <c r="M169" s="37"/>
      <c r="P169" s="77"/>
      <c r="Q169" s="77"/>
      <c r="R169" s="77"/>
      <c r="T169" s="77"/>
      <c r="W169" s="77"/>
      <c r="X169" s="77"/>
      <c r="Y169" s="77"/>
    </row>
  </sheetData>
  <sheetProtection password="CC4D" sheet="1" objects="1" scenarios="1"/>
  <mergeCells count="11">
    <mergeCell ref="M36:O36"/>
    <mergeCell ref="J36:L36"/>
    <mergeCell ref="D35:O35"/>
    <mergeCell ref="J24:K24"/>
    <mergeCell ref="J29:K29"/>
    <mergeCell ref="D1:P1"/>
    <mergeCell ref="D9:G9"/>
    <mergeCell ref="I9:P9"/>
    <mergeCell ref="N20:P20"/>
    <mergeCell ref="N15:P16"/>
    <mergeCell ref="N17:P18"/>
  </mergeCells>
  <conditionalFormatting sqref="E39:O47">
    <cfRule type="expression" priority="1" dxfId="0" stopIfTrue="1">
      <formula>$H39&gt;60.5</formula>
    </cfRule>
  </conditionalFormatting>
  <conditionalFormatting sqref="P31:P48 O23:P27">
    <cfRule type="cellIs" priority="2" dxfId="1" operator="lessThan" stopIfTrue="1">
      <formula>0</formula>
    </cfRule>
  </conditionalFormatting>
  <dataValidations count="27">
    <dataValidation type="decimal" allowBlank="1" showInputMessage="1" showErrorMessage="1" promptTitle="Power at -10 ºC for Te = 30 ºC" prompt="Input the Engine power for -10 ºC" errorTitle="Wrong Power" error="Tis Power must be less than the Power value for 0 ºC" sqref="M10">
      <formula1>1</formula1>
      <formula2>K10</formula2>
    </dataValidation>
    <dataValidation type="decimal" allowBlank="1" showInputMessage="1" showErrorMessage="1" promptTitle="Power at - 20 ºC" prompt="Input the Engine power at -20 ºC" errorTitle="wrong Power" error="This Power must be less than the Power at -10 ºC" sqref="O10">
      <formula1>1</formula1>
      <formula2>M10</formula2>
    </dataValidation>
    <dataValidation type="decimal" allowBlank="1" showInputMessage="1" showErrorMessage="1" promptTitle="Inside Temperature" prompt="Input the real inside working temperature for this equipment" errorTitle="Wrong Temperature" error="This temperature should be greater than -50 ºC and lower than the Outside temperature" sqref="K17:K18">
      <formula1>-40</formula1>
      <formula2>F17-1</formula2>
    </dataValidation>
    <dataValidation type="whole" allowBlank="1" showInputMessage="1" showErrorMessage="1" promptTitle="Loan period" prompt="Input the number of years you pretend to pay the loan for the new insulated box." sqref="F23">
      <formula1>0</formula1>
      <formula2>F22</formula2>
    </dataValidation>
    <dataValidation type="whole" allowBlank="1" showInputMessage="1" showErrorMessage="1" promptTitle="Loan period" prompt="Input the number of years you pretend to pay the loan for the new Thermal engine." sqref="F28">
      <formula1>0</formula1>
      <formula2>F27</formula2>
    </dataValidation>
    <dataValidation type="whole" allowBlank="1" showInputMessage="1" showErrorMessage="1" promptTitle="Initial payment" prompt="Input the initial payment you pretend to make when buying a new insulated box." sqref="K21">
      <formula1>0</formula1>
      <formula2>F21</formula2>
    </dataValidation>
    <dataValidation type="whole" allowBlank="1" showInputMessage="1" showErrorMessage="1" promptTitle="Salvage value" prompt="Input the value you thing you may obtain when selling this insulated box after it's lifetime." sqref="K22">
      <formula1>0</formula1>
      <formula2>F21</formula2>
    </dataValidation>
    <dataValidation type="whole" allowBlank="1" showInputMessage="1" showErrorMessage="1" promptTitle="Initial payment" prompt="Input the initial payment you pretend to make when buying a new Thermal engine." sqref="K26">
      <formula1>0</formula1>
      <formula2>F26</formula2>
    </dataValidation>
    <dataValidation type="whole" allowBlank="1" showInputMessage="1" showErrorMessage="1" promptTitle="Salvage value" prompt="Input the value you thing you may obtain when selling this Thermal engine after it's lifetime." sqref="K27">
      <formula1>0</formula1>
      <formula2>F26</formula2>
    </dataValidation>
    <dataValidation type="whole" allowBlank="1" showInputMessage="1" showErrorMessage="1" promptTitle="Cost" prompt="Input the cost of a new Thermal engine for this vehicle." sqref="F26">
      <formula1>0</formula1>
      <formula2>1000000</formula2>
    </dataValidation>
    <dataValidation type="whole" allowBlank="1" showInputMessage="1" showErrorMessage="1" promptTitle="Cost" prompt="Input the cost of a new insulated box for this vehicle (Insulated Box or Insulated Box plus Chassis).&#10;" sqref="F21">
      <formula1>0</formula1>
      <formula2>1000000</formula2>
    </dataValidation>
    <dataValidation allowBlank="1" showInputMessage="1" showErrorMessage="1" promptTitle="Thermal Engine Aging Factor" prompt="Input the Thermal Engine Aging Factor.&#10;This factor can have a wide range of values, and represent the overall year lost of eficincy. It depends on the Engine working time and quality of maintenance." sqref="K13"/>
    <dataValidation type="decimal" allowBlank="1" showInputMessage="1" showErrorMessage="1" promptTitle="Aging Factor" prompt="Input the Insulated box Aging Factor. This Aging Factor represents the initial per year K value percentage redution. This year factor is not constant, decreasing every year.&#10;For hundreds of studied cases, the standard average value is 9 %" sqref="F13">
      <formula1>0</formula1>
      <formula2>99</formula2>
    </dataValidation>
    <dataValidation type="decimal" allowBlank="1" showInputMessage="1" showErrorMessage="1" promptTitle="Interest rate" prompt="Input the interest rate you are going to paid for ths loan." sqref="K28 K23">
      <formula1>0</formula1>
      <formula2>100</formula2>
    </dataValidation>
    <dataValidation type="whole" allowBlank="1" showInputMessage="1" showErrorMessage="1" promptTitle="Lifetime" prompt="Input the number of years you intend to use this Thermal engine." sqref="F27">
      <formula1>0</formula1>
      <formula2>25</formula2>
    </dataValidation>
    <dataValidation type="whole" allowBlank="1" showInputMessage="1" showErrorMessage="1" promptTitle="Lifetime" prompt="Input the number of years you intend to use this insulate box." sqref="F22">
      <formula1>0</formula1>
      <formula2>25</formula2>
    </dataValidation>
    <dataValidation type="decimal" allowBlank="1" showInputMessage="1" showErrorMessage="1" promptTitle="Total working Days" prompt="Input the total working days per year" sqref="F16">
      <formula1>1</formula1>
      <formula2>365</formula2>
    </dataValidation>
    <dataValidation type="decimal" allowBlank="1" showInputMessage="1" showErrorMessage="1" promptTitle="Outside Temperaure" prompt="Input the real average working outside temperature for this equipment" sqref="F17:F18">
      <formula1>-20</formula1>
      <formula2>60</formula2>
    </dataValidation>
    <dataValidation type="decimal" allowBlank="1" showInputMessage="1" showErrorMessage="1" promptTitle="Fuel rate" prompt="Input the fuel increase rate per year" sqref="R13">
      <formula1>0</formula1>
      <formula2>100</formula2>
    </dataValidation>
    <dataValidation type="decimal" allowBlank="1" showInputMessage="1" showErrorMessage="1" promptTitle="Power at 0 ºC for Te = 30 ºC" prompt="Inpute the Engine Power at 0 ºC" sqref="K10">
      <formula1>1</formula1>
      <formula2>99999</formula2>
    </dataValidation>
    <dataValidation type="decimal" allowBlank="1" showInputMessage="1" showErrorMessage="1" promptTitle="Thermal Engine comsumption" prompt="This value is automaticaly calculated, but you can Input another value that best feets your case.&#10;This value remains constant for all the years calculation.&#10;In reality it should increase with the years" sqref="K11">
      <formula1>0.1</formula1>
      <formula2>99</formula2>
    </dataValidation>
    <dataValidation type="decimal" allowBlank="1" showInputMessage="1" showErrorMessage="1" promptTitle="CO2 Emissions" prompt="Input the CO2 emissions.&#10;The Standard value is 2.68 Kg / L of fuel" sqref="K12">
      <formula1>2</formula1>
      <formula2>3</formula2>
    </dataValidation>
    <dataValidation type="decimal" allowBlank="1" showInputMessage="1" showErrorMessage="1" promptTitle="Average Fuel Cost" prompt="Input the average fuek cost for the normal equipment operation" sqref="O11">
      <formula1>0.1</formula1>
      <formula2>99</formula2>
    </dataValidation>
    <dataValidation type="decimal" allowBlank="1" showInputMessage="1" showErrorMessage="1" promptTitle="Mean Surface" prompt="Input the equipment mean Surface between 0.1 to 200 m2" sqref="F11">
      <formula1>0.1</formula1>
      <formula2>200</formula2>
    </dataValidation>
    <dataValidation type="decimal" allowBlank="1" showInputMessage="1" showErrorMessage="1" promptTitle="K Value" prompt="Input the Insuade box K Value - (0.100 to 1.000)" sqref="F12">
      <formula1>0.1</formula1>
      <formula2>1</formula2>
    </dataValidation>
    <dataValidation allowBlank="1" showInputMessage="1" showErrorMessage="1" promptTitle="Fuel rate" prompt="Input the incresing price of fuel rate per year.&#10;From 2002 to 2006, the average Diesel increse rate on European countryes was 9 %." sqref="O12"/>
    <dataValidation allowBlank="1" showInputMessage="1" showErrorMessage="1" promptTitle="Original Box Life Time" prompt="Please input the original Box Life time (years)&#10;6 to 24 years" sqref="F10"/>
  </dataValidations>
  <hyperlinks>
    <hyperlink ref="O33" r:id="rId1" display="rtnobre@isq.pt"/>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2" sqref="K32"/>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F35" sqref="F35"/>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C31" sqref="C3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8"/>
  <dimension ref="B1:O29"/>
  <sheetViews>
    <sheetView workbookViewId="0" topLeftCell="A1">
      <selection activeCell="K31" sqref="K31"/>
    </sheetView>
  </sheetViews>
  <sheetFormatPr defaultColWidth="9.140625" defaultRowHeight="12.75"/>
  <cols>
    <col min="1" max="1" width="2.140625" style="31" customWidth="1"/>
    <col min="2" max="2" width="5.140625" style="31" customWidth="1"/>
    <col min="3" max="3" width="9.7109375" style="31" customWidth="1"/>
    <col min="4" max="6" width="9.7109375" style="30" customWidth="1"/>
    <col min="7" max="7" width="9.7109375" style="189" customWidth="1"/>
    <col min="8" max="13" width="9.7109375" style="30" customWidth="1"/>
    <col min="14" max="15" width="10.7109375" style="31" customWidth="1"/>
    <col min="16" max="16384" width="9.140625" style="31" customWidth="1"/>
  </cols>
  <sheetData>
    <row r="1" spans="2:13" ht="13.5" thickBot="1">
      <c r="B1" s="321" t="s">
        <v>116</v>
      </c>
      <c r="C1" s="321"/>
      <c r="D1" s="321"/>
      <c r="E1" s="321"/>
      <c r="F1" s="321"/>
      <c r="G1" s="321"/>
      <c r="H1" s="321"/>
      <c r="I1" s="321"/>
      <c r="J1" s="321"/>
      <c r="K1" s="321"/>
      <c r="L1" s="321"/>
      <c r="M1" s="321"/>
    </row>
    <row r="2" spans="2:13" ht="12.75">
      <c r="B2" s="195"/>
      <c r="C2" s="196" t="s">
        <v>0</v>
      </c>
      <c r="D2" s="197" t="s">
        <v>51</v>
      </c>
      <c r="E2" s="197" t="s">
        <v>6</v>
      </c>
      <c r="F2" s="197" t="s">
        <v>37</v>
      </c>
      <c r="G2" s="198" t="s">
        <v>40</v>
      </c>
      <c r="H2" s="318" t="s">
        <v>42</v>
      </c>
      <c r="I2" s="319"/>
      <c r="J2" s="320"/>
      <c r="K2" s="318" t="s">
        <v>114</v>
      </c>
      <c r="L2" s="319"/>
      <c r="M2" s="322"/>
    </row>
    <row r="3" spans="2:13" ht="12.75">
      <c r="B3" s="199" t="s">
        <v>36</v>
      </c>
      <c r="C3" s="200"/>
      <c r="D3" s="201" t="s">
        <v>52</v>
      </c>
      <c r="E3" s="201" t="s">
        <v>53</v>
      </c>
      <c r="F3" s="201" t="s">
        <v>38</v>
      </c>
      <c r="G3" s="202" t="s">
        <v>41</v>
      </c>
      <c r="H3" s="203" t="s">
        <v>9</v>
      </c>
      <c r="I3" s="204" t="s">
        <v>6</v>
      </c>
      <c r="J3" s="205" t="s">
        <v>10</v>
      </c>
      <c r="K3" s="203" t="s">
        <v>9</v>
      </c>
      <c r="L3" s="204" t="s">
        <v>6</v>
      </c>
      <c r="M3" s="206" t="s">
        <v>10</v>
      </c>
    </row>
    <row r="4" spans="2:13" ht="12.75">
      <c r="B4" s="207"/>
      <c r="C4" s="208" t="s">
        <v>115</v>
      </c>
      <c r="D4" s="209" t="s">
        <v>26</v>
      </c>
      <c r="E4" s="209" t="s">
        <v>26</v>
      </c>
      <c r="F4" s="209" t="s">
        <v>39</v>
      </c>
      <c r="G4" s="210" t="s">
        <v>7</v>
      </c>
      <c r="H4" s="211" t="s">
        <v>43</v>
      </c>
      <c r="I4" s="212" t="s">
        <v>43</v>
      </c>
      <c r="J4" s="213" t="s">
        <v>43</v>
      </c>
      <c r="K4" s="211" t="s">
        <v>44</v>
      </c>
      <c r="L4" s="212" t="s">
        <v>44</v>
      </c>
      <c r="M4" s="214" t="s">
        <v>44</v>
      </c>
    </row>
    <row r="5" spans="2:13" ht="12.75">
      <c r="B5" s="215">
        <v>0</v>
      </c>
      <c r="C5" s="190">
        <f>+'ATP Simulator'!E39</f>
        <v>0.38</v>
      </c>
      <c r="D5" s="191">
        <f>+'ATP Simulator'!F39</f>
        <v>2479.5</v>
      </c>
      <c r="E5" s="191">
        <f>+'ATP Simulator'!G39</f>
        <v>6062.5</v>
      </c>
      <c r="F5" s="191">
        <f>+'ATP Simulator'!H39</f>
        <v>24.539381443298968</v>
      </c>
      <c r="G5" s="192">
        <f>+'ATP Simulator'!I39</f>
        <v>-25</v>
      </c>
      <c r="H5" s="191">
        <f>+'ATP Simulator'!J39</f>
        <v>19435.190103092784</v>
      </c>
      <c r="I5" s="191">
        <f>+'ATP Simulator'!K39</f>
        <v>0</v>
      </c>
      <c r="J5" s="191">
        <f>+'ATP Simulator'!L39</f>
        <v>19435.190103092784</v>
      </c>
      <c r="K5" s="191">
        <f>+'ATP Simulator'!M39</f>
        <v>52086.30947628866</v>
      </c>
      <c r="L5" s="191">
        <f>+'ATP Simulator'!N39</f>
        <v>0</v>
      </c>
      <c r="M5" s="191">
        <f>+'ATP Simulator'!O39</f>
        <v>52086.30947628866</v>
      </c>
    </row>
    <row r="6" spans="2:13" ht="12.75">
      <c r="B6" s="215">
        <f>+B5+3</f>
        <v>3</v>
      </c>
      <c r="C6" s="190">
        <f>+'ATP Simulator'!E40</f>
        <v>0.4703177149444444</v>
      </c>
      <c r="D6" s="191">
        <f>+'ATP Simulator'!F40</f>
        <v>3068.8230900125</v>
      </c>
      <c r="E6" s="191">
        <f>+'ATP Simulator'!G40</f>
        <v>5880.6552506625</v>
      </c>
      <c r="F6" s="191">
        <f>+'ATP Simulator'!H40</f>
        <v>31.311032113301735</v>
      </c>
      <c r="G6" s="192">
        <f>+'ATP Simulator'!I40</f>
        <v>-25</v>
      </c>
      <c r="H6" s="191">
        <f>+'ATP Simulator'!J40</f>
        <v>27846.103353639297</v>
      </c>
      <c r="I6" s="191">
        <f>+'ATP Simulator'!K40</f>
        <v>861.0720180881518</v>
      </c>
      <c r="J6" s="191">
        <f>+'ATP Simulator'!L40</f>
        <v>28707.175371727448</v>
      </c>
      <c r="K6" s="191">
        <f>+'ATP Simulator'!M40</f>
        <v>64466.089612571704</v>
      </c>
      <c r="L6" s="191">
        <f>+'ATP Simulator'!N40</f>
        <v>1993.4547098380276</v>
      </c>
      <c r="M6" s="191">
        <f>+'ATP Simulator'!O40</f>
        <v>66459.54432240973</v>
      </c>
    </row>
    <row r="7" spans="2:13" ht="12.75">
      <c r="B7" s="215">
        <f aca="true" t="shared" si="0" ref="B7:B13">+B6+3</f>
        <v>6</v>
      </c>
      <c r="C7" s="190">
        <f>+'ATP Simulator'!E41</f>
        <v>0.5756202310759776</v>
      </c>
      <c r="D7" s="191">
        <f>+'ATP Simulator'!F41</f>
        <v>3755.9220077707537</v>
      </c>
      <c r="E7" s="191">
        <f>+'ATP Simulator'!G41</f>
        <v>5699.080288725214</v>
      </c>
      <c r="F7" s="191">
        <f>+'ATP Simulator'!H41</f>
        <v>39.54240141379958</v>
      </c>
      <c r="G7" s="192">
        <f>+'ATP Simulator'!I41</f>
        <v>-25</v>
      </c>
      <c r="H7" s="191">
        <f>+'ATP Simulator'!J41</f>
        <v>39452.72817787785</v>
      </c>
      <c r="I7" s="191">
        <f>+'ATP Simulator'!K41</f>
        <v>2515.826827667682</v>
      </c>
      <c r="J7" s="191">
        <f>+'ATP Simulator'!L41</f>
        <v>41968.55500554553</v>
      </c>
      <c r="K7" s="191">
        <f>+'ATP Simulator'!M41</f>
        <v>78899.8249911478</v>
      </c>
      <c r="L7" s="191">
        <f>+'ATP Simulator'!N41</f>
        <v>5031.294553726649</v>
      </c>
      <c r="M7" s="191">
        <f>+'ATP Simulator'!O41</f>
        <v>83931.11954487445</v>
      </c>
    </row>
    <row r="8" spans="2:13" ht="12.75">
      <c r="B8" s="215">
        <f t="shared" si="0"/>
        <v>9</v>
      </c>
      <c r="C8" s="190">
        <f>+'ATP Simulator'!E42</f>
        <v>0.6966257350119196</v>
      </c>
      <c r="D8" s="191">
        <f>+'ATP Simulator'!F42</f>
        <v>4545.482920952775</v>
      </c>
      <c r="E8" s="191">
        <f>+'ATP Simulator'!G42</f>
        <v>5518.090236564487</v>
      </c>
      <c r="F8" s="191">
        <f>+'ATP Simulator'!H42</f>
        <v>49.424522536798</v>
      </c>
      <c r="G8" s="192">
        <f>+'ATP Simulator'!I42</f>
        <v>-25</v>
      </c>
      <c r="H8" s="191">
        <f>+'ATP Simulator'!J42</f>
        <v>55272.41013905623</v>
      </c>
      <c r="I8" s="191">
        <f>+'ATP Simulator'!K42</f>
        <v>5453.125708043614</v>
      </c>
      <c r="J8" s="191">
        <f>+'ATP Simulator'!L42</f>
        <v>60725.53584709984</v>
      </c>
      <c r="K8" s="191">
        <f>+'ATP Simulator'!M42</f>
        <v>95485.95690257341</v>
      </c>
      <c r="L8" s="191">
        <f>+'ATP Simulator'!N42</f>
        <v>9420.557653132557</v>
      </c>
      <c r="M8" s="191">
        <f>+'ATP Simulator'!O42</f>
        <v>104906.51455570597</v>
      </c>
    </row>
    <row r="9" spans="2:13" ht="12.75">
      <c r="B9" s="215">
        <f t="shared" si="0"/>
        <v>12</v>
      </c>
      <c r="C9" s="190">
        <f>+'ATP Simulator'!E43</f>
        <v>0.8336108817261261</v>
      </c>
      <c r="D9" s="191">
        <f>+'ATP Simulator'!F43</f>
        <v>5439.311003262973</v>
      </c>
      <c r="E9" s="191">
        <f>+'ATP Simulator'!G43</f>
        <v>5337.988926361714</v>
      </c>
      <c r="F9" s="191">
        <f>+'ATP Simulator'!H43</f>
        <v>61.13887921049306</v>
      </c>
      <c r="G9" s="192">
        <f>+'ATP Simulator'!I43</f>
        <v>-24.679595588855555</v>
      </c>
      <c r="H9" s="191">
        <f>+'ATP Simulator'!J43</f>
        <v>76566.7406937796</v>
      </c>
      <c r="I9" s="191">
        <f>+'ATP Simulator'!K43</f>
        <v>8772.351918792034</v>
      </c>
      <c r="J9" s="191">
        <f>+'ATP Simulator'!L43</f>
        <v>85339.09261257164</v>
      </c>
      <c r="K9" s="191">
        <f>+'ATP Simulator'!M43</f>
        <v>114262.40623260233</v>
      </c>
      <c r="L9" s="191">
        <f>+'ATP Simulator'!N43</f>
        <v>13091.193767397706</v>
      </c>
      <c r="M9" s="191">
        <f>+'ATP Simulator'!O43</f>
        <v>127353.60000000003</v>
      </c>
    </row>
    <row r="10" spans="2:13" ht="12.75">
      <c r="B10" s="215">
        <f t="shared" si="0"/>
        <v>15</v>
      </c>
      <c r="C10" s="190">
        <f>+'ATP Simulator'!E44</f>
        <v>0.986300236160638</v>
      </c>
      <c r="D10" s="191">
        <f>+'ATP Simulator'!F44</f>
        <v>6435.609040948162</v>
      </c>
      <c r="E10" s="191">
        <f>+'ATP Simulator'!G44</f>
        <v>5159.0681702311695</v>
      </c>
      <c r="F10" s="191">
        <f>+'ATP Simulator'!H44</f>
        <v>74.84617952617353</v>
      </c>
      <c r="G10" s="192">
        <f>+'ATP Simulator'!I44</f>
        <v>-21.17851733378707</v>
      </c>
      <c r="H10" s="191">
        <f>+'ATP Simulator'!J44</f>
        <v>98790.66708562824</v>
      </c>
      <c r="I10" s="191">
        <f>+'ATP Simulator'!K44</f>
        <v>0</v>
      </c>
      <c r="J10" s="191">
        <f>+'ATP Simulator'!L44</f>
        <v>98790.66708562824</v>
      </c>
      <c r="K10" s="191">
        <f>+'ATP Simulator'!M44</f>
        <v>127353.6</v>
      </c>
      <c r="L10" s="191">
        <f>+'ATP Simulator'!N44</f>
        <v>0</v>
      </c>
      <c r="M10" s="191">
        <f>+'ATP Simulator'!O44</f>
        <v>127353.6</v>
      </c>
    </row>
    <row r="11" spans="2:13" ht="12.75">
      <c r="B11" s="215">
        <f t="shared" si="0"/>
        <v>18</v>
      </c>
      <c r="C11" s="190">
        <f>+'ATP Simulator'!E45</f>
        <v>1.1537671379124563</v>
      </c>
      <c r="D11" s="191">
        <f>+'ATP Simulator'!F45</f>
        <v>7528.330574878777</v>
      </c>
      <c r="E11" s="191">
        <f>+'ATP Simulator'!G45</f>
        <v>4981.6071067849825</v>
      </c>
      <c r="F11" s="191">
        <f>+'ATP Simulator'!H45</f>
        <v>90.67351656004915</v>
      </c>
      <c r="G11" s="192">
        <f>+'ATP Simulator'!I45</f>
        <v>-17.96711981835189</v>
      </c>
      <c r="H11" s="191">
        <f>+'ATP Simulator'!J45</f>
        <v>114362.54598500041</v>
      </c>
      <c r="I11" s="191">
        <f>+'ATP Simulator'!K45</f>
        <v>0</v>
      </c>
      <c r="J11" s="191">
        <f>+'ATP Simulator'!L45</f>
        <v>114362.54598500041</v>
      </c>
      <c r="K11" s="191">
        <f>+'ATP Simulator'!M45</f>
        <v>127353.6</v>
      </c>
      <c r="L11" s="191">
        <f>+'ATP Simulator'!N45</f>
        <v>0</v>
      </c>
      <c r="M11" s="191">
        <f>+'ATP Simulator'!O45</f>
        <v>127353.6</v>
      </c>
    </row>
    <row r="12" spans="2:13" ht="12.75">
      <c r="B12" s="215">
        <f t="shared" si="0"/>
        <v>21</v>
      </c>
      <c r="C12" s="190">
        <f>+'ATP Simulator'!E46</f>
        <v>1.3343559055171814</v>
      </c>
      <c r="D12" s="191">
        <f>+'ATP Simulator'!F46</f>
        <v>8706.672283499609</v>
      </c>
      <c r="E12" s="191">
        <f>+'ATP Simulator'!G46</f>
        <v>4805.871625196623</v>
      </c>
      <c r="F12" s="191">
        <f>+'ATP Simulator'!H46</f>
        <v>108.7004351658277</v>
      </c>
      <c r="G12" s="192">
        <f>+'ATP Simulator'!I46</f>
        <v>-15.173258035681776</v>
      </c>
      <c r="H12" s="191">
        <f>+'ATP Simulator'!J46</f>
        <v>132388.94229588614</v>
      </c>
      <c r="I12" s="191">
        <f>+'ATP Simulator'!K46</f>
        <v>0</v>
      </c>
      <c r="J12" s="191">
        <f>+'ATP Simulator'!L46</f>
        <v>132388.94229588614</v>
      </c>
      <c r="K12" s="191">
        <f>+'ATP Simulator'!M46</f>
        <v>127353.6</v>
      </c>
      <c r="L12" s="191">
        <f>+'ATP Simulator'!N46</f>
        <v>0</v>
      </c>
      <c r="M12" s="191">
        <f>+'ATP Simulator'!O46</f>
        <v>127353.6</v>
      </c>
    </row>
    <row r="13" spans="2:13" ht="13.5" thickBot="1">
      <c r="B13" s="216">
        <f t="shared" si="0"/>
        <v>24</v>
      </c>
      <c r="C13" s="190">
        <f>+'ATP Simulator'!E47</f>
        <v>1.5256354371650716</v>
      </c>
      <c r="D13" s="191">
        <f>+'ATP Simulator'!F47</f>
        <v>9954.771227502093</v>
      </c>
      <c r="E13" s="191">
        <f>+'ATP Simulator'!G47</f>
        <v>4632.113867307732</v>
      </c>
      <c r="F13" s="191">
        <f>+'ATP Simulator'!H47</f>
        <v>128.94464401352877</v>
      </c>
      <c r="G13" s="192">
        <f>+'ATP Simulator'!I47</f>
        <v>-12.80668935413366</v>
      </c>
      <c r="H13" s="191">
        <f>+'ATP Simulator'!J47</f>
        <v>153256.74932527522</v>
      </c>
      <c r="I13" s="191">
        <f>+'ATP Simulator'!K47</f>
        <v>0</v>
      </c>
      <c r="J13" s="191">
        <f>+'ATP Simulator'!L47</f>
        <v>153256.74932527522</v>
      </c>
      <c r="K13" s="191">
        <f>+'ATP Simulator'!M47</f>
        <v>127353.6</v>
      </c>
      <c r="L13" s="191">
        <f>+'ATP Simulator'!N47</f>
        <v>0</v>
      </c>
      <c r="M13" s="191">
        <f>+'ATP Simulator'!O47</f>
        <v>127353.6</v>
      </c>
    </row>
    <row r="16" spans="2:14" s="183" customFormat="1" ht="13.5" thickBot="1">
      <c r="B16" s="184"/>
      <c r="C16" s="182"/>
      <c r="D16" s="182"/>
      <c r="E16" s="184"/>
      <c r="F16" s="185" t="s">
        <v>119</v>
      </c>
      <c r="G16" s="186">
        <f>+'ATP Simulator'!F22</f>
        <v>8</v>
      </c>
      <c r="H16" s="184" t="s">
        <v>120</v>
      </c>
      <c r="I16" s="184" t="s">
        <v>118</v>
      </c>
      <c r="J16" s="182"/>
      <c r="K16" s="182"/>
      <c r="L16" s="186"/>
      <c r="M16" s="187">
        <f>+'ATP Simulator'!$F$27</f>
        <v>12</v>
      </c>
      <c r="N16" s="188" t="s">
        <v>117</v>
      </c>
    </row>
    <row r="17" spans="2:15" ht="15.75">
      <c r="B17" s="195"/>
      <c r="C17" s="196" t="s">
        <v>0</v>
      </c>
      <c r="D17" s="197" t="s">
        <v>51</v>
      </c>
      <c r="E17" s="197" t="s">
        <v>6</v>
      </c>
      <c r="F17" s="197" t="s">
        <v>37</v>
      </c>
      <c r="G17" s="198" t="s">
        <v>40</v>
      </c>
      <c r="H17" s="318" t="s">
        <v>42</v>
      </c>
      <c r="I17" s="319"/>
      <c r="J17" s="320"/>
      <c r="K17" s="318" t="s">
        <v>57</v>
      </c>
      <c r="L17" s="319"/>
      <c r="M17" s="319"/>
      <c r="N17" s="1" t="s">
        <v>121</v>
      </c>
      <c r="O17" s="217" t="s">
        <v>122</v>
      </c>
    </row>
    <row r="18" spans="2:15" ht="12.75">
      <c r="B18" s="199" t="s">
        <v>36</v>
      </c>
      <c r="C18" s="200"/>
      <c r="D18" s="201" t="s">
        <v>52</v>
      </c>
      <c r="E18" s="201" t="s">
        <v>53</v>
      </c>
      <c r="F18" s="201" t="s">
        <v>38</v>
      </c>
      <c r="G18" s="202" t="s">
        <v>41</v>
      </c>
      <c r="H18" s="203" t="s">
        <v>9</v>
      </c>
      <c r="I18" s="204" t="s">
        <v>6</v>
      </c>
      <c r="J18" s="205" t="s">
        <v>10</v>
      </c>
      <c r="K18" s="203" t="s">
        <v>9</v>
      </c>
      <c r="L18" s="204" t="s">
        <v>6</v>
      </c>
      <c r="M18" s="204" t="s">
        <v>10</v>
      </c>
      <c r="N18" s="2" t="s">
        <v>105</v>
      </c>
      <c r="O18" s="218" t="s">
        <v>123</v>
      </c>
    </row>
    <row r="19" spans="2:15" ht="14.25">
      <c r="B19" s="207"/>
      <c r="C19" s="208" t="s">
        <v>45</v>
      </c>
      <c r="D19" s="209" t="s">
        <v>26</v>
      </c>
      <c r="E19" s="209" t="s">
        <v>26</v>
      </c>
      <c r="F19" s="209" t="s">
        <v>39</v>
      </c>
      <c r="G19" s="210" t="s">
        <v>7</v>
      </c>
      <c r="H19" s="211" t="s">
        <v>43</v>
      </c>
      <c r="I19" s="212" t="s">
        <v>43</v>
      </c>
      <c r="J19" s="213" t="s">
        <v>43</v>
      </c>
      <c r="K19" s="211" t="s">
        <v>44</v>
      </c>
      <c r="L19" s="212" t="s">
        <v>44</v>
      </c>
      <c r="M19" s="212" t="s">
        <v>44</v>
      </c>
      <c r="N19" s="3" t="s">
        <v>43</v>
      </c>
      <c r="O19" s="219" t="s">
        <v>105</v>
      </c>
    </row>
    <row r="20" spans="2:15" ht="12.75">
      <c r="B20" s="215">
        <v>0</v>
      </c>
      <c r="C20" s="245">
        <f>+'ATP Simulator'!D90</f>
        <v>0.38</v>
      </c>
      <c r="D20" s="193">
        <f>+'ATP Simulator'!E90</f>
        <v>2479.5</v>
      </c>
      <c r="E20" s="193">
        <f>+'ATP Simulator'!G90</f>
        <v>6062.5</v>
      </c>
      <c r="F20" s="193">
        <f>+'ATP Simulator'!H90</f>
        <v>24.539381443298968</v>
      </c>
      <c r="G20" s="194">
        <f>+'ATP Simulator'!M90</f>
        <v>-25</v>
      </c>
      <c r="H20" s="193">
        <f>+'ATP Simulator'!Q90</f>
        <v>19435.190103092784</v>
      </c>
      <c r="I20" s="193">
        <f>+'ATP Simulator'!R90</f>
        <v>0</v>
      </c>
      <c r="J20" s="193">
        <f>+'ATP Simulator'!S90</f>
        <v>19435.190103092784</v>
      </c>
      <c r="K20" s="193">
        <f>+'ATP Simulator'!T90</f>
        <v>52086.30947628866</v>
      </c>
      <c r="L20" s="193">
        <f>+'ATP Simulator'!U90</f>
        <v>0</v>
      </c>
      <c r="M20" s="193">
        <f>+'ATP Simulator'!V90</f>
        <v>52086.30947628866</v>
      </c>
      <c r="N20" s="4">
        <f>+J5-J20</f>
        <v>0</v>
      </c>
      <c r="O20" s="220">
        <f>+M5-M20</f>
        <v>0</v>
      </c>
    </row>
    <row r="21" spans="2:15" ht="12.75">
      <c r="B21" s="215">
        <f>+B20+3</f>
        <v>3</v>
      </c>
      <c r="C21" s="245">
        <f>+'ATP Simulator'!D93</f>
        <v>0.4703177149444444</v>
      </c>
      <c r="D21" s="193">
        <f>+'ATP Simulator'!E93</f>
        <v>3068.8230900125</v>
      </c>
      <c r="E21" s="193">
        <f>+'ATP Simulator'!G93</f>
        <v>5880.6552506625</v>
      </c>
      <c r="F21" s="193">
        <f>+'ATP Simulator'!H93</f>
        <v>31.311032113301735</v>
      </c>
      <c r="G21" s="194">
        <f>+'ATP Simulator'!M93</f>
        <v>-25</v>
      </c>
      <c r="H21" s="193">
        <f>+'ATP Simulator'!Q93</f>
        <v>27846.103353639297</v>
      </c>
      <c r="I21" s="193">
        <f>+'ATP Simulator'!R93</f>
        <v>861.0720180881518</v>
      </c>
      <c r="J21" s="193">
        <f>+'ATP Simulator'!S93</f>
        <v>28707.175371727448</v>
      </c>
      <c r="K21" s="193">
        <f>+'ATP Simulator'!T93</f>
        <v>64466.089612571704</v>
      </c>
      <c r="L21" s="193">
        <f>+'ATP Simulator'!U93</f>
        <v>1993.4547098380276</v>
      </c>
      <c r="M21" s="193">
        <f>+'ATP Simulator'!V93</f>
        <v>66459.54432240973</v>
      </c>
      <c r="N21" s="4">
        <f aca="true" t="shared" si="1" ref="N21:N28">+J6-J21</f>
        <v>0</v>
      </c>
      <c r="O21" s="220">
        <f aca="true" t="shared" si="2" ref="O21:O28">+M6-M21</f>
        <v>0</v>
      </c>
    </row>
    <row r="22" spans="2:15" ht="12.75">
      <c r="B22" s="215">
        <f aca="true" t="shared" si="3" ref="B22:B28">+B21+3</f>
        <v>6</v>
      </c>
      <c r="C22" s="245">
        <f>+'ATP Simulator'!D96</f>
        <v>0.5756202310759776</v>
      </c>
      <c r="D22" s="193">
        <f>+'ATP Simulator'!E96</f>
        <v>3755.9220077707537</v>
      </c>
      <c r="E22" s="193">
        <f>+'ATP Simulator'!G96</f>
        <v>5699.080288725214</v>
      </c>
      <c r="F22" s="193">
        <f>+'ATP Simulator'!H96</f>
        <v>39.54240141379958</v>
      </c>
      <c r="G22" s="194">
        <f>+'ATP Simulator'!M96</f>
        <v>-25</v>
      </c>
      <c r="H22" s="193">
        <f>+'ATP Simulator'!Q96</f>
        <v>39452.72817787785</v>
      </c>
      <c r="I22" s="193">
        <f>+'ATP Simulator'!R96</f>
        <v>2515.826827667682</v>
      </c>
      <c r="J22" s="193">
        <f>+'ATP Simulator'!S96</f>
        <v>41968.55500554553</v>
      </c>
      <c r="K22" s="193">
        <f>+'ATP Simulator'!T96</f>
        <v>78899.8249911478</v>
      </c>
      <c r="L22" s="193">
        <f>+'ATP Simulator'!U96</f>
        <v>5031.294553726649</v>
      </c>
      <c r="M22" s="193">
        <f>+'ATP Simulator'!V96</f>
        <v>83931.11954487445</v>
      </c>
      <c r="N22" s="4">
        <f t="shared" si="1"/>
        <v>0</v>
      </c>
      <c r="O22" s="220">
        <f t="shared" si="2"/>
        <v>0</v>
      </c>
    </row>
    <row r="23" spans="2:15" ht="12.75">
      <c r="B23" s="215">
        <f t="shared" si="3"/>
        <v>9</v>
      </c>
      <c r="C23" s="245">
        <f>+'ATP Simulator'!D99</f>
        <v>0.4085</v>
      </c>
      <c r="D23" s="193">
        <f>+'ATP Simulator'!E99</f>
        <v>2665.4624999999996</v>
      </c>
      <c r="E23" s="193">
        <f>+'ATP Simulator'!G99</f>
        <v>5518.090236564487</v>
      </c>
      <c r="F23" s="193">
        <f>+'ATP Simulator'!H99</f>
        <v>28.982445582399453</v>
      </c>
      <c r="G23" s="194">
        <f>+'ATP Simulator'!M99</f>
        <v>-25</v>
      </c>
      <c r="H23" s="193">
        <f>+'ATP Simulator'!Q99</f>
        <v>32411.6356990718</v>
      </c>
      <c r="I23" s="193">
        <f>+'ATP Simulator'!R99</f>
        <v>3197.702496158428</v>
      </c>
      <c r="J23" s="193">
        <f>+'ATP Simulator'!S99</f>
        <v>35609.33819523023</v>
      </c>
      <c r="K23" s="193">
        <f>+'ATP Simulator'!T99</f>
        <v>55992.782687010294</v>
      </c>
      <c r="L23" s="193">
        <f>+'ATP Simulator'!U99</f>
        <v>5524.197008367485</v>
      </c>
      <c r="M23" s="193">
        <f>+'ATP Simulator'!V99</f>
        <v>61516.97969537778</v>
      </c>
      <c r="N23" s="4">
        <f t="shared" si="1"/>
        <v>25116.19765186961</v>
      </c>
      <c r="O23" s="220">
        <f t="shared" si="2"/>
        <v>43389.5348603282</v>
      </c>
    </row>
    <row r="24" spans="2:15" ht="12.75">
      <c r="B24" s="215">
        <f t="shared" si="3"/>
        <v>12</v>
      </c>
      <c r="C24" s="245">
        <f>+'ATP Simulator'!D102</f>
        <v>0.5037102727055</v>
      </c>
      <c r="D24" s="193">
        <f>+'ATP Simulator'!E102</f>
        <v>3286.7095294033875</v>
      </c>
      <c r="E24" s="193">
        <f>+'ATP Simulator'!G102</f>
        <v>6062.5</v>
      </c>
      <c r="F24" s="193">
        <f>+'ATP Simulator'!H102</f>
        <v>32.52825926007476</v>
      </c>
      <c r="G24" s="194">
        <f>+'ATP Simulator'!M102</f>
        <v>-25</v>
      </c>
      <c r="H24" s="193">
        <f>+'ATP Simulator'!Q102</f>
        <v>46265.53549202101</v>
      </c>
      <c r="I24" s="193">
        <f>+'ATP Simulator'!R102</f>
        <v>0</v>
      </c>
      <c r="J24" s="193">
        <f>+'ATP Simulator'!S102</f>
        <v>46265.53549202101</v>
      </c>
      <c r="K24" s="193">
        <f>+'ATP Simulator'!T102</f>
        <v>69043.18197506429</v>
      </c>
      <c r="L24" s="193">
        <f>+'ATP Simulator'!U102</f>
        <v>0</v>
      </c>
      <c r="M24" s="193">
        <f>+'ATP Simulator'!V102</f>
        <v>69043.18197506429</v>
      </c>
      <c r="N24" s="4">
        <f t="shared" si="1"/>
        <v>39073.55712055063</v>
      </c>
      <c r="O24" s="220">
        <f t="shared" si="2"/>
        <v>58310.418024935745</v>
      </c>
    </row>
    <row r="25" spans="2:15" ht="12.75">
      <c r="B25" s="215">
        <f t="shared" si="3"/>
        <v>15</v>
      </c>
      <c r="C25" s="245">
        <f>+'ATP Simulator'!D105</f>
        <v>0.614186786558068</v>
      </c>
      <c r="D25" s="193">
        <f>+'ATP Simulator'!E105</f>
        <v>4007.568782291394</v>
      </c>
      <c r="E25" s="193">
        <f>+'ATP Simulator'!G105</f>
        <v>5880.6552506625</v>
      </c>
      <c r="F25" s="193">
        <f>+'ATP Simulator'!H105</f>
        <v>40.889002447540975</v>
      </c>
      <c r="G25" s="194">
        <f>+'ATP Simulator'!M105</f>
        <v>-25</v>
      </c>
      <c r="H25" s="193">
        <f>+'ATP Simulator'!Q105</f>
        <v>65304.80715779063</v>
      </c>
      <c r="I25" s="193">
        <f>+'ATP Simulator'!R105</f>
        <v>2019.3899798503483</v>
      </c>
      <c r="J25" s="193">
        <f>+'ATP Simulator'!S105</f>
        <v>67324.19713764098</v>
      </c>
      <c r="K25" s="193">
        <f>+'ATP Simulator'!T105</f>
        <v>84186.1132655547</v>
      </c>
      <c r="L25" s="193">
        <f>+'ATP Simulator'!U105</f>
        <v>2603.2477694978797</v>
      </c>
      <c r="M25" s="193">
        <f>+'ATP Simulator'!V105</f>
        <v>86789.36103505257</v>
      </c>
      <c r="N25" s="4">
        <f t="shared" si="1"/>
        <v>31466.469947987265</v>
      </c>
      <c r="O25" s="220">
        <f t="shared" si="2"/>
        <v>40564.238964947435</v>
      </c>
    </row>
    <row r="26" spans="2:15" ht="12.75">
      <c r="B26" s="215">
        <f t="shared" si="3"/>
        <v>18</v>
      </c>
      <c r="C26" s="245">
        <f>+'ATP Simulator'!D108</f>
        <v>0.43859283333333327</v>
      </c>
      <c r="D26" s="193">
        <f>+'ATP Simulator'!E108</f>
        <v>2861.8182374999997</v>
      </c>
      <c r="E26" s="193">
        <f>+'ATP Simulator'!G108</f>
        <v>5699.080288725214</v>
      </c>
      <c r="F26" s="193">
        <f>+'ATP Simulator'!H108</f>
        <v>30.129263942763004</v>
      </c>
      <c r="G26" s="194">
        <f>+'ATP Simulator'!M108</f>
        <v>-25</v>
      </c>
      <c r="H26" s="193">
        <f>+'ATP Simulator'!Q108</f>
        <v>53985.12491328768</v>
      </c>
      <c r="I26" s="193">
        <f>+'ATP Simulator'!R108</f>
        <v>3442.5306391864733</v>
      </c>
      <c r="J26" s="193">
        <f>+'ATP Simulator'!S108</f>
        <v>57427.65555247415</v>
      </c>
      <c r="K26" s="193">
        <f>+'ATP Simulator'!T108</f>
        <v>60117.5843449534</v>
      </c>
      <c r="L26" s="193">
        <f>+'ATP Simulator'!U108</f>
        <v>3833.5861293976495</v>
      </c>
      <c r="M26" s="193">
        <f>+'ATP Simulator'!V108</f>
        <v>63951.17047435105</v>
      </c>
      <c r="N26" s="4">
        <f t="shared" si="1"/>
        <v>56934.89043252626</v>
      </c>
      <c r="O26" s="220">
        <f t="shared" si="2"/>
        <v>63402.42952564896</v>
      </c>
    </row>
    <row r="27" spans="2:15" ht="12.75">
      <c r="B27" s="215">
        <f t="shared" si="3"/>
        <v>21</v>
      </c>
      <c r="C27" s="245">
        <f>+'ATP Simulator'!D111</f>
        <v>0.5388020883706498</v>
      </c>
      <c r="D27" s="193">
        <f>+'ATP Simulator'!E111</f>
        <v>3515.6836266184896</v>
      </c>
      <c r="E27" s="193">
        <f>+'ATP Simulator'!G111</f>
        <v>5518.090236564487</v>
      </c>
      <c r="F27" s="193">
        <f>+'ATP Simulator'!H111</f>
        <v>38.227177982583946</v>
      </c>
      <c r="G27" s="194">
        <f>+'ATP Simulator'!M111</f>
        <v>-25</v>
      </c>
      <c r="H27" s="193">
        <f>+'ATP Simulator'!Q111</f>
        <v>76773.21843711124</v>
      </c>
      <c r="I27" s="193">
        <f>+'ATP Simulator'!R111</f>
        <v>7574.37589740335</v>
      </c>
      <c r="J27" s="193">
        <f>+'ATP Simulator'!S111</f>
        <v>84347.5943345146</v>
      </c>
      <c r="K27" s="193">
        <f>+'ATP Simulator'!T111</f>
        <v>73853.19031932708</v>
      </c>
      <c r="L27" s="193">
        <f>+'ATP Simulator'!U111</f>
        <v>7286.288579386302</v>
      </c>
      <c r="M27" s="193">
        <f>+'ATP Simulator'!V111</f>
        <v>81139.4788987134</v>
      </c>
      <c r="N27" s="4">
        <f t="shared" si="1"/>
        <v>48041.347961371546</v>
      </c>
      <c r="O27" s="220">
        <f t="shared" si="2"/>
        <v>46214.12110128661</v>
      </c>
    </row>
    <row r="28" spans="2:15" ht="13.5" thickBot="1">
      <c r="B28" s="216">
        <f t="shared" si="3"/>
        <v>24</v>
      </c>
      <c r="C28" s="245">
        <f>+'ATP Simulator'!D114</f>
        <v>0.38</v>
      </c>
      <c r="D28" s="193">
        <f>+'ATP Simulator'!E114</f>
        <v>2479.5</v>
      </c>
      <c r="E28" s="193">
        <f>+'ATP Simulator'!G114</f>
        <v>6062.5</v>
      </c>
      <c r="F28" s="193">
        <f>+'ATP Simulator'!H114</f>
        <v>24.539381443298968</v>
      </c>
      <c r="G28" s="194">
        <f>+'ATP Simulator'!M114</f>
        <v>-25</v>
      </c>
      <c r="H28" s="193">
        <f>+'ATP Simulator'!Q114</f>
        <v>62680.43050754967</v>
      </c>
      <c r="I28" s="193">
        <f>+'ATP Simulator'!R114</f>
        <v>0</v>
      </c>
      <c r="J28" s="193">
        <f>+'ATP Simulator'!S114</f>
        <v>62680.43050754967</v>
      </c>
      <c r="K28" s="193">
        <f>+'ATP Simulator'!T114</f>
        <v>52086.30947628866</v>
      </c>
      <c r="L28" s="193">
        <f>+'ATP Simulator'!U114</f>
        <v>0</v>
      </c>
      <c r="M28" s="193">
        <f>+'ATP Simulator'!V114</f>
        <v>52086.30947628866</v>
      </c>
      <c r="N28" s="4">
        <f t="shared" si="1"/>
        <v>90576.31881772555</v>
      </c>
      <c r="O28" s="220">
        <f t="shared" si="2"/>
        <v>75267.29052371134</v>
      </c>
    </row>
    <row r="29" spans="11:15" ht="12.75">
      <c r="K29" s="247" t="s">
        <v>168</v>
      </c>
      <c r="L29" s="249">
        <f>+'ATP Simulator'!F10</f>
        <v>12</v>
      </c>
      <c r="M29" s="248" t="s">
        <v>141</v>
      </c>
      <c r="N29" s="221">
        <f>+'ATP Simulator'!O26*'ATP Simulator'!F10</f>
        <v>60621.70313842516</v>
      </c>
      <c r="O29" s="222">
        <f>+'ATP Simulator'!O23*'ATP Simulator'!F10</f>
        <v>237187.02269524836</v>
      </c>
    </row>
  </sheetData>
  <sheetProtection password="CC4D" sheet="1" objects="1" scenarios="1"/>
  <mergeCells count="5">
    <mergeCell ref="H17:J17"/>
    <mergeCell ref="K17:M17"/>
    <mergeCell ref="B1:M1"/>
    <mergeCell ref="H2:J2"/>
    <mergeCell ref="K2:M2"/>
  </mergeCells>
  <conditionalFormatting sqref="C6:C13 D5:E13 G5:M13 F6:F13">
    <cfRule type="expression" priority="1" dxfId="0" stopIfTrue="1">
      <formula>$F5&gt;60.5</formula>
    </cfRule>
  </conditionalFormatting>
  <conditionalFormatting sqref="C20:M28">
    <cfRule type="expression" priority="2" dxfId="0" stopIfTrue="1">
      <formula>$G20&gt;60.5</formula>
    </cfRule>
  </conditionalFormatting>
  <conditionalFormatting sqref="N20:O29">
    <cfRule type="cellIs" priority="3" dxfId="0" operator="lessThan" stopIfTrue="1">
      <formula>0</formula>
    </cfRule>
  </conditionalFormatting>
  <conditionalFormatting sqref="F5 C5">
    <cfRule type="expression" priority="4" dxfId="0" stopIfTrue="1">
      <formula>$F5&gt;60.5</formula>
    </cfRule>
  </conditionalFormatting>
  <printOptions/>
  <pageMargins left="0.75" right="0.75" top="1" bottom="1" header="0.5" footer="0.5"/>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C1:N24"/>
  <sheetViews>
    <sheetView workbookViewId="0" topLeftCell="A1">
      <selection activeCell="A28" sqref="A28"/>
    </sheetView>
  </sheetViews>
  <sheetFormatPr defaultColWidth="9.140625" defaultRowHeight="12.75"/>
  <cols>
    <col min="1" max="2" width="9.140625" style="31" customWidth="1"/>
    <col min="3" max="3" width="14.140625" style="31" customWidth="1"/>
    <col min="4" max="14" width="8.7109375" style="31" customWidth="1"/>
    <col min="15" max="16384" width="9.140625" style="31" customWidth="1"/>
  </cols>
  <sheetData>
    <row r="1" spans="3:13" ht="13.5" customHeight="1" thickBot="1">
      <c r="C1" s="290" t="s">
        <v>89</v>
      </c>
      <c r="D1" s="290"/>
      <c r="E1" s="291" t="s">
        <v>88</v>
      </c>
      <c r="F1" s="291"/>
      <c r="G1" s="291"/>
      <c r="H1" s="291"/>
      <c r="I1" s="291"/>
      <c r="J1" s="291"/>
      <c r="K1" s="276"/>
      <c r="M1" s="276"/>
    </row>
    <row r="2" spans="3:14" s="223" customFormat="1" ht="9.75" customHeight="1" thickBot="1">
      <c r="C2" s="289" t="s">
        <v>72</v>
      </c>
      <c r="D2" s="292" t="s">
        <v>87</v>
      </c>
      <c r="E2" s="292"/>
      <c r="F2" s="292"/>
      <c r="G2" s="292"/>
      <c r="H2" s="292"/>
      <c r="I2" s="292"/>
      <c r="J2" s="292"/>
      <c r="K2" s="292"/>
      <c r="L2" s="292"/>
      <c r="M2" s="224"/>
      <c r="N2" s="274"/>
    </row>
    <row r="3" spans="3:14" s="223" customFormat="1" ht="9.75" customHeight="1" thickBot="1">
      <c r="C3" s="323"/>
      <c r="D3" s="292" t="s">
        <v>73</v>
      </c>
      <c r="E3" s="292"/>
      <c r="F3" s="292"/>
      <c r="G3" s="292"/>
      <c r="H3" s="292"/>
      <c r="I3" s="292" t="s">
        <v>74</v>
      </c>
      <c r="J3" s="292"/>
      <c r="K3" s="292"/>
      <c r="L3" s="292"/>
      <c r="M3" s="292"/>
      <c r="N3" s="275" t="s">
        <v>169</v>
      </c>
    </row>
    <row r="4" spans="3:14" s="223" customFormat="1" ht="9.75" customHeight="1" thickBot="1">
      <c r="C4" s="225"/>
      <c r="D4" s="224">
        <v>2002</v>
      </c>
      <c r="E4" s="224">
        <v>2003</v>
      </c>
      <c r="F4" s="224">
        <v>2004</v>
      </c>
      <c r="G4" s="224">
        <v>2005</v>
      </c>
      <c r="H4" s="224">
        <v>2006</v>
      </c>
      <c r="I4" s="224">
        <v>2002</v>
      </c>
      <c r="J4" s="224">
        <v>2003</v>
      </c>
      <c r="K4" s="224">
        <v>2004</v>
      </c>
      <c r="L4" s="224">
        <v>2005</v>
      </c>
      <c r="M4" s="224">
        <v>2006</v>
      </c>
      <c r="N4" s="277"/>
    </row>
    <row r="5" spans="3:14" s="223" customFormat="1" ht="9.75" customHeight="1" thickBot="1">
      <c r="C5" s="226" t="s">
        <v>75</v>
      </c>
      <c r="D5" s="227">
        <v>0.89</v>
      </c>
      <c r="E5" s="227">
        <v>0.85</v>
      </c>
      <c r="F5" s="227">
        <v>0.99</v>
      </c>
      <c r="G5" s="227">
        <v>1.06</v>
      </c>
      <c r="H5" s="227">
        <v>1.132</v>
      </c>
      <c r="I5" s="227">
        <v>0.72</v>
      </c>
      <c r="J5" s="227">
        <v>0.7</v>
      </c>
      <c r="K5" s="227">
        <v>0.84</v>
      </c>
      <c r="L5" s="227">
        <v>0.98</v>
      </c>
      <c r="M5" s="227">
        <v>1.045</v>
      </c>
      <c r="N5" s="278">
        <f>AVERAGE(I5:I15)</f>
        <v>0.7363636363636363</v>
      </c>
    </row>
    <row r="6" spans="3:14" s="223" customFormat="1" ht="9.75" customHeight="1" thickBot="1">
      <c r="C6" s="226" t="s">
        <v>76</v>
      </c>
      <c r="D6" s="227">
        <v>1.01</v>
      </c>
      <c r="E6" s="227">
        <v>1</v>
      </c>
      <c r="F6" s="227">
        <v>1.18</v>
      </c>
      <c r="G6" s="227">
        <v>1.25</v>
      </c>
      <c r="H6" s="227">
        <v>1.432</v>
      </c>
      <c r="I6" s="227">
        <v>0.75</v>
      </c>
      <c r="J6" s="227">
        <v>0.78</v>
      </c>
      <c r="K6" s="227">
        <v>0.83</v>
      </c>
      <c r="L6" s="227">
        <v>1.05</v>
      </c>
      <c r="M6" s="227">
        <v>1.113</v>
      </c>
      <c r="N6" s="279"/>
    </row>
    <row r="7" spans="3:14" s="223" customFormat="1" ht="9.75" customHeight="1" thickBot="1">
      <c r="C7" s="226" t="s">
        <v>77</v>
      </c>
      <c r="D7" s="227">
        <v>1.12</v>
      </c>
      <c r="E7" s="227">
        <v>1.1</v>
      </c>
      <c r="F7" s="227">
        <v>1.15</v>
      </c>
      <c r="G7" s="227">
        <v>1.17</v>
      </c>
      <c r="H7" s="227">
        <v>1.393</v>
      </c>
      <c r="I7" s="227">
        <v>0.79</v>
      </c>
      <c r="J7" s="227">
        <v>0.76</v>
      </c>
      <c r="K7" s="227">
        <v>0.8</v>
      </c>
      <c r="L7" s="227">
        <v>0.93</v>
      </c>
      <c r="M7" s="227">
        <v>1.052</v>
      </c>
      <c r="N7" s="279"/>
    </row>
    <row r="8" spans="3:14" s="223" customFormat="1" ht="9.75" customHeight="1" thickBot="1">
      <c r="C8" s="226" t="s">
        <v>78</v>
      </c>
      <c r="D8" s="227">
        <v>1.03</v>
      </c>
      <c r="E8" s="227">
        <v>1.06</v>
      </c>
      <c r="F8" s="227">
        <v>1.19</v>
      </c>
      <c r="G8" s="227">
        <v>1.22</v>
      </c>
      <c r="H8" s="227">
        <v>1.365</v>
      </c>
      <c r="I8" s="227">
        <v>0.81</v>
      </c>
      <c r="J8" s="227">
        <v>0.84</v>
      </c>
      <c r="K8" s="227">
        <v>0.95</v>
      </c>
      <c r="L8" s="227">
        <v>1.08</v>
      </c>
      <c r="M8" s="227">
        <v>1.148</v>
      </c>
      <c r="N8" s="279"/>
    </row>
    <row r="9" spans="3:14" s="223" customFormat="1" ht="9.75" customHeight="1" thickBot="1">
      <c r="C9" s="226" t="s">
        <v>79</v>
      </c>
      <c r="D9" s="227">
        <v>0.71</v>
      </c>
      <c r="E9" s="227">
        <v>0.79</v>
      </c>
      <c r="F9" s="227">
        <v>0.87</v>
      </c>
      <c r="G9" s="227">
        <v>0.9</v>
      </c>
      <c r="H9" s="227">
        <v>1.038</v>
      </c>
      <c r="I9" s="227">
        <v>0.65</v>
      </c>
      <c r="J9" s="227">
        <v>0.76</v>
      </c>
      <c r="K9" s="227">
        <v>0.74</v>
      </c>
      <c r="L9" s="227">
        <v>0.88</v>
      </c>
      <c r="M9" s="227">
        <v>0.984</v>
      </c>
      <c r="N9" s="279"/>
    </row>
    <row r="10" spans="3:14" s="223" customFormat="1" ht="9.75" customHeight="1" thickBot="1">
      <c r="C10" s="226" t="s">
        <v>80</v>
      </c>
      <c r="D10" s="227">
        <v>1.15</v>
      </c>
      <c r="E10" s="227">
        <v>1.17</v>
      </c>
      <c r="F10" s="227">
        <v>1.27</v>
      </c>
      <c r="G10" s="227">
        <v>1.4</v>
      </c>
      <c r="H10" s="227">
        <v>1.508</v>
      </c>
      <c r="I10" s="227">
        <v>0.78</v>
      </c>
      <c r="J10" s="227">
        <v>0.78</v>
      </c>
      <c r="K10" s="227">
        <v>0.93</v>
      </c>
      <c r="L10" s="227">
        <v>1.05</v>
      </c>
      <c r="M10" s="227">
        <v>1.12</v>
      </c>
      <c r="N10" s="279"/>
    </row>
    <row r="11" spans="3:14" s="223" customFormat="1" ht="9.75" customHeight="1" thickBot="1">
      <c r="C11" s="226" t="s">
        <v>81</v>
      </c>
      <c r="D11" s="227">
        <v>1.05</v>
      </c>
      <c r="E11" s="227">
        <v>1.05</v>
      </c>
      <c r="F11" s="227">
        <v>1.16</v>
      </c>
      <c r="G11" s="227">
        <v>1.24</v>
      </c>
      <c r="H11" s="227">
        <v>1.35</v>
      </c>
      <c r="I11" s="227">
        <v>0.84</v>
      </c>
      <c r="J11" s="227">
        <v>0.85</v>
      </c>
      <c r="K11" s="227">
        <v>0.95</v>
      </c>
      <c r="L11" s="227">
        <v>1.13</v>
      </c>
      <c r="M11" s="227">
        <v>1.246</v>
      </c>
      <c r="N11" s="279"/>
    </row>
    <row r="12" spans="3:14" s="223" customFormat="1" ht="9.75" customHeight="1" thickBot="1">
      <c r="C12" s="226" t="s">
        <v>82</v>
      </c>
      <c r="D12" s="227">
        <v>0.77</v>
      </c>
      <c r="E12" s="227">
        <v>0.79</v>
      </c>
      <c r="F12" s="227">
        <v>0.92</v>
      </c>
      <c r="G12" s="227">
        <v>1.02</v>
      </c>
      <c r="H12" s="227">
        <v>1.177</v>
      </c>
      <c r="I12" s="227">
        <v>0.63</v>
      </c>
      <c r="J12" s="227">
        <v>0.63</v>
      </c>
      <c r="K12" s="227">
        <v>0.73</v>
      </c>
      <c r="L12" s="227">
        <v>0.87</v>
      </c>
      <c r="M12" s="227">
        <v>0.964</v>
      </c>
      <c r="N12" s="279"/>
    </row>
    <row r="13" spans="3:14" s="223" customFormat="1" ht="9.75" customHeight="1" thickBot="1">
      <c r="C13" s="226" t="s">
        <v>84</v>
      </c>
      <c r="D13" s="227">
        <v>0.82</v>
      </c>
      <c r="E13" s="227">
        <v>0.81</v>
      </c>
      <c r="F13" s="227">
        <v>0.91</v>
      </c>
      <c r="G13" s="227">
        <v>1</v>
      </c>
      <c r="H13" s="227">
        <v>1.029</v>
      </c>
      <c r="I13" s="227">
        <v>0.68</v>
      </c>
      <c r="J13" s="227">
        <v>0.68</v>
      </c>
      <c r="K13" s="227">
        <v>0.78</v>
      </c>
      <c r="L13" s="227">
        <v>0.94</v>
      </c>
      <c r="M13" s="227">
        <v>0.919</v>
      </c>
      <c r="N13" s="279"/>
    </row>
    <row r="14" spans="3:14" s="223" customFormat="1" ht="9.75" customHeight="1" thickBot="1">
      <c r="C14" s="226" t="s">
        <v>83</v>
      </c>
      <c r="D14" s="227">
        <v>0.94</v>
      </c>
      <c r="E14" s="227">
        <v>0.96</v>
      </c>
      <c r="F14" s="227">
        <v>1.08</v>
      </c>
      <c r="G14" s="227">
        <v>1.18</v>
      </c>
      <c r="H14" s="227">
        <v>1.348</v>
      </c>
      <c r="I14" s="227">
        <v>0.69</v>
      </c>
      <c r="J14" s="227">
        <v>0.72</v>
      </c>
      <c r="K14" s="227">
        <v>0.79</v>
      </c>
      <c r="L14" s="227">
        <v>0.98</v>
      </c>
      <c r="M14" s="227">
        <v>1.088</v>
      </c>
      <c r="N14" s="279"/>
    </row>
    <row r="15" spans="3:14" s="223" customFormat="1" ht="9.75" customHeight="1" thickBot="1">
      <c r="C15" s="226" t="s">
        <v>85</v>
      </c>
      <c r="D15" s="227">
        <v>1</v>
      </c>
      <c r="E15" s="227">
        <v>1</v>
      </c>
      <c r="F15" s="227">
        <v>1.08</v>
      </c>
      <c r="G15" s="227">
        <v>1.2</v>
      </c>
      <c r="H15" s="227">
        <v>1.285</v>
      </c>
      <c r="I15" s="227">
        <v>0.76</v>
      </c>
      <c r="J15" s="227">
        <v>0.76</v>
      </c>
      <c r="K15" s="227">
        <v>0.89</v>
      </c>
      <c r="L15" s="227">
        <v>1.07</v>
      </c>
      <c r="M15" s="227">
        <v>1.098</v>
      </c>
      <c r="N15" s="279">
        <f>AVERAGE(M5:M15)</f>
        <v>1.0706363636363638</v>
      </c>
    </row>
    <row r="16" spans="3:14" s="223" customFormat="1" ht="9.75" customHeight="1" thickBot="1">
      <c r="C16" s="18" t="s">
        <v>86</v>
      </c>
      <c r="D16" s="19">
        <f>AVERAGE(D5:D15)</f>
        <v>0.9536363636363636</v>
      </c>
      <c r="E16" s="19">
        <f aca="true" t="shared" si="0" ref="E16:M16">AVERAGE(E5:E15)</f>
        <v>0.9618181818181817</v>
      </c>
      <c r="F16" s="19">
        <f t="shared" si="0"/>
        <v>1.0727272727272728</v>
      </c>
      <c r="G16" s="19">
        <f t="shared" si="0"/>
        <v>1.149090909090909</v>
      </c>
      <c r="H16" s="19">
        <f t="shared" si="0"/>
        <v>1.2779090909090909</v>
      </c>
      <c r="I16" s="19">
        <f t="shared" si="0"/>
        <v>0.7363636363636363</v>
      </c>
      <c r="J16" s="19">
        <f t="shared" si="0"/>
        <v>0.7509090909090909</v>
      </c>
      <c r="K16" s="19">
        <f t="shared" si="0"/>
        <v>0.8390909090909091</v>
      </c>
      <c r="L16" s="19">
        <f t="shared" si="0"/>
        <v>0.9963636363636365</v>
      </c>
      <c r="M16" s="19">
        <f t="shared" si="0"/>
        <v>1.0706363636363638</v>
      </c>
      <c r="N16" s="280"/>
    </row>
    <row r="17" ht="12.75" customHeight="1"/>
    <row r="18" ht="12.75" customHeight="1"/>
    <row r="19" ht="12.75" customHeight="1">
      <c r="N19" s="30"/>
    </row>
    <row r="20" ht="12.75" customHeight="1">
      <c r="C20" s="33"/>
    </row>
    <row r="21" s="43" customFormat="1" ht="12.75" customHeight="1">
      <c r="C21" s="33"/>
    </row>
    <row r="22" ht="12.75">
      <c r="C22" s="33"/>
    </row>
    <row r="23" ht="12.75">
      <c r="C23" s="33"/>
    </row>
    <row r="24" ht="12.75">
      <c r="C24" s="33"/>
    </row>
  </sheetData>
  <sheetProtection password="CC4D" sheet="1" objects="1" scenarios="1"/>
  <mergeCells count="6">
    <mergeCell ref="C1:D1"/>
    <mergeCell ref="E1:J1"/>
    <mergeCell ref="I3:M3"/>
    <mergeCell ref="D3:H3"/>
    <mergeCell ref="D2:L2"/>
    <mergeCell ref="C2:C3"/>
  </mergeCell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BA71"/>
  <sheetViews>
    <sheetView workbookViewId="0" topLeftCell="AG1">
      <selection activeCell="D9" sqref="D9:AA32"/>
    </sheetView>
  </sheetViews>
  <sheetFormatPr defaultColWidth="9.140625" defaultRowHeight="12.75"/>
  <cols>
    <col min="1" max="1" width="0.2890625" style="254" customWidth="1"/>
    <col min="2" max="3" width="2.7109375" style="254" customWidth="1"/>
    <col min="4" max="27" width="5.57421875" style="253" customWidth="1"/>
    <col min="28" max="16384" width="9.140625" style="254" customWidth="1"/>
  </cols>
  <sheetData>
    <row r="1" spans="1:53" s="250" customFormat="1" ht="12" customHeight="1">
      <c r="A1" s="250">
        <v>1</v>
      </c>
      <c r="B1" s="329" t="s">
        <v>166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272"/>
      <c r="AC1" s="272"/>
      <c r="AD1" s="272"/>
      <c r="AE1" s="272"/>
      <c r="AF1" s="272"/>
      <c r="AW1" s="260"/>
      <c r="AX1" s="260"/>
      <c r="AY1" s="260"/>
      <c r="AZ1" s="260"/>
      <c r="BA1" s="260"/>
    </row>
    <row r="2" spans="2:53" s="250" customFormat="1" ht="12" customHeight="1">
      <c r="B2" s="262" t="s">
        <v>134</v>
      </c>
      <c r="C2" s="261"/>
      <c r="D2" s="261"/>
      <c r="E2" s="261"/>
      <c r="F2" s="260"/>
      <c r="G2" s="260"/>
      <c r="H2" s="261">
        <f>+'ATP Simulator'!F11</f>
        <v>145</v>
      </c>
      <c r="I2" s="262" t="s">
        <v>135</v>
      </c>
      <c r="J2" s="260"/>
      <c r="K2" s="262" t="s">
        <v>136</v>
      </c>
      <c r="L2" s="261"/>
      <c r="M2" s="261"/>
      <c r="N2" s="260"/>
      <c r="O2" s="260"/>
      <c r="P2" s="261">
        <f>+'ATP Simulator'!K11</f>
        <v>6</v>
      </c>
      <c r="Q2" s="262" t="s">
        <v>29</v>
      </c>
      <c r="R2" s="260"/>
      <c r="S2" s="262" t="s">
        <v>70</v>
      </c>
      <c r="T2" s="260"/>
      <c r="U2" s="263">
        <f>+'ATP Simulator'!O12</f>
        <v>5</v>
      </c>
      <c r="V2" s="262" t="s">
        <v>22</v>
      </c>
      <c r="W2" s="262"/>
      <c r="X2" s="262"/>
      <c r="Y2" s="262"/>
      <c r="Z2" s="262"/>
      <c r="AA2" s="262"/>
      <c r="AB2" s="272"/>
      <c r="AC2" s="272"/>
      <c r="AD2" s="272"/>
      <c r="AE2" s="272"/>
      <c r="AF2" s="272"/>
      <c r="AW2" s="260"/>
      <c r="AX2" s="260"/>
      <c r="AY2" s="260"/>
      <c r="AZ2" s="260"/>
      <c r="BA2" s="260"/>
    </row>
    <row r="3" spans="2:53" s="250" customFormat="1" ht="12" customHeight="1">
      <c r="B3" s="264" t="s">
        <v>142</v>
      </c>
      <c r="C3" s="260"/>
      <c r="D3" s="261"/>
      <c r="E3" s="261"/>
      <c r="F3" s="287">
        <v>7.5</v>
      </c>
      <c r="G3" s="260"/>
      <c r="H3" s="263">
        <f>+'ATP Simulator'!F13</f>
        <v>7.5</v>
      </c>
      <c r="I3" s="262" t="s">
        <v>22</v>
      </c>
      <c r="J3" s="260"/>
      <c r="K3" s="262" t="s">
        <v>165</v>
      </c>
      <c r="L3" s="261"/>
      <c r="M3" s="260"/>
      <c r="N3" s="260"/>
      <c r="O3" s="260"/>
      <c r="P3" s="261">
        <f>+'ATP Simulator'!F10</f>
        <v>12</v>
      </c>
      <c r="Q3" s="262" t="s">
        <v>141</v>
      </c>
      <c r="R3" s="262"/>
      <c r="S3" s="260"/>
      <c r="T3" s="261"/>
      <c r="U3" s="262"/>
      <c r="V3" s="262"/>
      <c r="W3" s="262"/>
      <c r="X3" s="262"/>
      <c r="Y3" s="262"/>
      <c r="Z3" s="262"/>
      <c r="AA3" s="262"/>
      <c r="AB3" s="272"/>
      <c r="AC3" s="272"/>
      <c r="AD3" s="272"/>
      <c r="AE3" s="272"/>
      <c r="AF3" s="272"/>
      <c r="AW3" s="260"/>
      <c r="AX3" s="260"/>
      <c r="AY3" s="260"/>
      <c r="AZ3" s="260"/>
      <c r="BA3" s="260"/>
    </row>
    <row r="4" spans="2:53" s="250" customFormat="1" ht="12" customHeight="1">
      <c r="B4" s="262" t="s">
        <v>137</v>
      </c>
      <c r="C4" s="261"/>
      <c r="D4" s="261"/>
      <c r="E4" s="261"/>
      <c r="F4" s="260"/>
      <c r="G4" s="327">
        <f>+'ATP Simulator'!F21</f>
        <v>25000</v>
      </c>
      <c r="H4" s="327"/>
      <c r="I4" s="262" t="s">
        <v>60</v>
      </c>
      <c r="J4" s="260"/>
      <c r="K4" s="262" t="s">
        <v>138</v>
      </c>
      <c r="L4" s="260"/>
      <c r="M4" s="261"/>
      <c r="N4" s="260"/>
      <c r="O4" s="328">
        <f>+'ATP Simulator'!K21</f>
        <v>7500</v>
      </c>
      <c r="P4" s="328"/>
      <c r="Q4" s="262" t="s">
        <v>60</v>
      </c>
      <c r="R4" s="262"/>
      <c r="S4" s="262" t="s">
        <v>139</v>
      </c>
      <c r="T4" s="260"/>
      <c r="U4" s="261">
        <f>+'ATP Simulator'!F23</f>
        <v>6</v>
      </c>
      <c r="V4" s="262" t="s">
        <v>141</v>
      </c>
      <c r="W4" s="262"/>
      <c r="X4" s="262"/>
      <c r="Y4" s="262"/>
      <c r="Z4" s="262"/>
      <c r="AA4" s="262"/>
      <c r="AB4" s="272"/>
      <c r="AC4" s="272"/>
      <c r="AD4" s="272"/>
      <c r="AE4" s="272"/>
      <c r="AF4" s="272"/>
      <c r="AW4" s="260"/>
      <c r="AX4" s="260"/>
      <c r="AY4" s="260"/>
      <c r="AZ4" s="260"/>
      <c r="BA4" s="260"/>
    </row>
    <row r="5" spans="2:53" s="250" customFormat="1" ht="12" customHeight="1">
      <c r="B5" s="262" t="s">
        <v>140</v>
      </c>
      <c r="C5" s="261"/>
      <c r="D5" s="261"/>
      <c r="E5" s="261"/>
      <c r="F5" s="260"/>
      <c r="G5" s="328">
        <f>+'ATP Simulator'!F26</f>
        <v>30000</v>
      </c>
      <c r="H5" s="328"/>
      <c r="I5" s="262" t="s">
        <v>60</v>
      </c>
      <c r="J5" s="260"/>
      <c r="K5" s="262" t="s">
        <v>138</v>
      </c>
      <c r="L5" s="260"/>
      <c r="M5" s="261"/>
      <c r="N5" s="260"/>
      <c r="O5" s="328">
        <f>+'ATP Simulator'!K26</f>
        <v>10000</v>
      </c>
      <c r="P5" s="328"/>
      <c r="Q5" s="262" t="s">
        <v>60</v>
      </c>
      <c r="R5" s="262"/>
      <c r="S5" s="262" t="s">
        <v>139</v>
      </c>
      <c r="T5" s="260"/>
      <c r="U5" s="261">
        <f>+'ATP Simulator'!F28</f>
        <v>6</v>
      </c>
      <c r="V5" s="262" t="s">
        <v>141</v>
      </c>
      <c r="W5" s="262"/>
      <c r="X5" s="262"/>
      <c r="Y5" s="262"/>
      <c r="Z5" s="262"/>
      <c r="AA5" s="262"/>
      <c r="AB5" s="272"/>
      <c r="AC5" s="272"/>
      <c r="AD5" s="272"/>
      <c r="AE5" s="272"/>
      <c r="AF5" s="272"/>
      <c r="AW5" s="260"/>
      <c r="AX5" s="260"/>
      <c r="AY5" s="260"/>
      <c r="AZ5" s="260"/>
      <c r="BA5" s="260"/>
    </row>
    <row r="6" spans="2:53" s="250" customFormat="1" ht="12" customHeight="1">
      <c r="B6" s="262" t="s">
        <v>153</v>
      </c>
      <c r="C6" s="260"/>
      <c r="D6" s="260"/>
      <c r="E6" s="263">
        <f>+'ATP Simulator'!K23</f>
        <v>4</v>
      </c>
      <c r="F6" s="262" t="s">
        <v>22</v>
      </c>
      <c r="G6" s="260"/>
      <c r="H6" s="260"/>
      <c r="I6" s="262" t="s">
        <v>143</v>
      </c>
      <c r="J6" s="260"/>
      <c r="K6" s="263">
        <f>+'ATP Simulator'!K19</f>
        <v>2.3</v>
      </c>
      <c r="L6" s="262" t="s">
        <v>22</v>
      </c>
      <c r="M6" s="260"/>
      <c r="N6" s="265" t="s">
        <v>164</v>
      </c>
      <c r="O6" s="261"/>
      <c r="P6" s="260"/>
      <c r="Q6" s="288">
        <f>+E42</f>
        <v>8</v>
      </c>
      <c r="R6" s="264" t="s">
        <v>141</v>
      </c>
      <c r="S6" s="260"/>
      <c r="T6" s="265" t="s">
        <v>163</v>
      </c>
      <c r="U6" s="261"/>
      <c r="V6" s="260"/>
      <c r="W6" s="288">
        <f>+H43</f>
        <v>12</v>
      </c>
      <c r="X6" s="262" t="s">
        <v>67</v>
      </c>
      <c r="Y6" s="261"/>
      <c r="Z6" s="261"/>
      <c r="AA6" s="261"/>
      <c r="AB6" s="273">
        <f>MAX(D9:O32)</f>
        <v>5051.808594868763</v>
      </c>
      <c r="AC6" s="273"/>
      <c r="AD6" s="272"/>
      <c r="AE6" s="272"/>
      <c r="AF6" s="272"/>
      <c r="AW6" s="260"/>
      <c r="AX6" s="260"/>
      <c r="AY6" s="260"/>
      <c r="AZ6" s="260"/>
      <c r="BA6" s="260"/>
    </row>
    <row r="7" spans="2:53" s="250" customFormat="1" ht="12" customHeight="1">
      <c r="B7" s="251"/>
      <c r="C7" s="252"/>
      <c r="D7" s="330" t="s">
        <v>160</v>
      </c>
      <c r="E7" s="331"/>
      <c r="F7" s="331"/>
      <c r="G7" s="331"/>
      <c r="H7" s="331"/>
      <c r="I7" s="331"/>
      <c r="J7" s="331"/>
      <c r="K7" s="331"/>
      <c r="L7" s="331"/>
      <c r="M7" s="331"/>
      <c r="N7" s="331"/>
      <c r="O7" s="331"/>
      <c r="P7" s="331"/>
      <c r="Q7" s="331"/>
      <c r="R7" s="331"/>
      <c r="S7" s="331"/>
      <c r="T7" s="331"/>
      <c r="U7" s="331"/>
      <c r="V7" s="331"/>
      <c r="W7" s="331"/>
      <c r="X7" s="331"/>
      <c r="Y7" s="331"/>
      <c r="Z7" s="331"/>
      <c r="AA7" s="332"/>
      <c r="AB7" s="272"/>
      <c r="AC7" s="272"/>
      <c r="AD7" s="272"/>
      <c r="AE7" s="272"/>
      <c r="AF7" s="272"/>
      <c r="AW7" s="260"/>
      <c r="AX7" s="260"/>
      <c r="AY7" s="260"/>
      <c r="AZ7" s="260"/>
      <c r="BA7" s="260"/>
    </row>
    <row r="8" spans="2:53" ht="12" customHeight="1">
      <c r="B8" s="255"/>
      <c r="C8" s="256"/>
      <c r="D8" s="257">
        <v>1</v>
      </c>
      <c r="E8" s="257">
        <f aca="true" t="shared" si="0" ref="E8:O8">+D8+1</f>
        <v>2</v>
      </c>
      <c r="F8" s="257">
        <f t="shared" si="0"/>
        <v>3</v>
      </c>
      <c r="G8" s="257">
        <f t="shared" si="0"/>
        <v>4</v>
      </c>
      <c r="H8" s="257">
        <f t="shared" si="0"/>
        <v>5</v>
      </c>
      <c r="I8" s="257">
        <f t="shared" si="0"/>
        <v>6</v>
      </c>
      <c r="J8" s="257">
        <f t="shared" si="0"/>
        <v>7</v>
      </c>
      <c r="K8" s="257">
        <f t="shared" si="0"/>
        <v>8</v>
      </c>
      <c r="L8" s="257">
        <f t="shared" si="0"/>
        <v>9</v>
      </c>
      <c r="M8" s="257">
        <f t="shared" si="0"/>
        <v>10</v>
      </c>
      <c r="N8" s="257">
        <f t="shared" si="0"/>
        <v>11</v>
      </c>
      <c r="O8" s="257">
        <f t="shared" si="0"/>
        <v>12</v>
      </c>
      <c r="P8" s="257">
        <f>+O8+1</f>
        <v>13</v>
      </c>
      <c r="Q8" s="257">
        <f aca="true" t="shared" si="1" ref="Q8:AA8">+P8+1</f>
        <v>14</v>
      </c>
      <c r="R8" s="257">
        <f t="shared" si="1"/>
        <v>15</v>
      </c>
      <c r="S8" s="257">
        <f t="shared" si="1"/>
        <v>16</v>
      </c>
      <c r="T8" s="257">
        <f t="shared" si="1"/>
        <v>17</v>
      </c>
      <c r="U8" s="257">
        <f t="shared" si="1"/>
        <v>18</v>
      </c>
      <c r="V8" s="257">
        <f t="shared" si="1"/>
        <v>19</v>
      </c>
      <c r="W8" s="257">
        <f t="shared" si="1"/>
        <v>20</v>
      </c>
      <c r="X8" s="257">
        <f t="shared" si="1"/>
        <v>21</v>
      </c>
      <c r="Y8" s="257">
        <f t="shared" si="1"/>
        <v>22</v>
      </c>
      <c r="Z8" s="257">
        <f t="shared" si="1"/>
        <v>23</v>
      </c>
      <c r="AA8" s="257">
        <f t="shared" si="1"/>
        <v>24</v>
      </c>
      <c r="AB8" s="270"/>
      <c r="AC8" s="270"/>
      <c r="AD8" s="270"/>
      <c r="AE8" s="270"/>
      <c r="AF8" s="270"/>
      <c r="AW8" s="266"/>
      <c r="AX8" s="266"/>
      <c r="AY8" s="266"/>
      <c r="AZ8" s="266"/>
      <c r="BA8" s="266"/>
    </row>
    <row r="9" spans="2:53" ht="12" customHeight="1">
      <c r="B9" s="324" t="s">
        <v>157</v>
      </c>
      <c r="C9" s="258">
        <v>1</v>
      </c>
      <c r="D9" s="283">
        <v>-48899.12055797089</v>
      </c>
      <c r="E9" s="283">
        <v>-34555.73170859207</v>
      </c>
      <c r="F9" s="283">
        <v>-30204.527018462173</v>
      </c>
      <c r="G9" s="283">
        <v>-28439.763825161423</v>
      </c>
      <c r="H9" s="283">
        <v>-27236.230859458417</v>
      </c>
      <c r="I9" s="283">
        <v>-27471.769695712308</v>
      </c>
      <c r="J9" s="283">
        <v>-27212.18935808221</v>
      </c>
      <c r="K9" s="283">
        <v>-26721.683102563125</v>
      </c>
      <c r="L9" s="283">
        <v>-26727.158731466796</v>
      </c>
      <c r="M9" s="283">
        <v>-27265.00076273501</v>
      </c>
      <c r="N9" s="283">
        <v>-28375.542467175837</v>
      </c>
      <c r="O9" s="283">
        <v>-30103.37155553766</v>
      </c>
      <c r="P9" s="283"/>
      <c r="Q9" s="283"/>
      <c r="R9" s="283"/>
      <c r="S9" s="283"/>
      <c r="T9" s="283"/>
      <c r="U9" s="283"/>
      <c r="V9" s="283"/>
      <c r="W9" s="283"/>
      <c r="X9" s="283"/>
      <c r="Y9" s="283"/>
      <c r="Z9" s="283"/>
      <c r="AA9" s="283"/>
      <c r="AB9" s="284">
        <f>MAX(D9:O9)</f>
        <v>-26721.683102563125</v>
      </c>
      <c r="AC9" s="271"/>
      <c r="AD9" s="270">
        <f>MATCH(AB9,D9:O9,1)</f>
        <v>12</v>
      </c>
      <c r="AE9" s="270"/>
      <c r="AF9" s="270"/>
      <c r="AW9" s="266"/>
      <c r="AX9" s="266"/>
      <c r="AY9" s="266"/>
      <c r="AZ9" s="266"/>
      <c r="BA9" s="266"/>
    </row>
    <row r="10" spans="2:53" ht="12" customHeight="1">
      <c r="B10" s="325"/>
      <c r="C10" s="258">
        <f>+C9+1</f>
        <v>2</v>
      </c>
      <c r="D10" s="283">
        <v>-32889.0764019502</v>
      </c>
      <c r="E10" s="283">
        <v>-18555.690632111007</v>
      </c>
      <c r="F10" s="283">
        <v>-14205.03143602532</v>
      </c>
      <c r="G10" s="283">
        <v>-12451.100184736868</v>
      </c>
      <c r="H10" s="283">
        <v>-11245.886443298872</v>
      </c>
      <c r="I10" s="283">
        <v>-11495.692153558155</v>
      </c>
      <c r="J10" s="283">
        <v>-11229.682628026358</v>
      </c>
      <c r="K10" s="283">
        <v>-10748.894305904829</v>
      </c>
      <c r="L10" s="283">
        <v>-10750.130512656344</v>
      </c>
      <c r="M10" s="283">
        <v>-11306.903233593599</v>
      </c>
      <c r="N10" s="283">
        <v>-12415.346404539117</v>
      </c>
      <c r="O10" s="283">
        <v>-14173.08350763334</v>
      </c>
      <c r="P10" s="283"/>
      <c r="Q10" s="283"/>
      <c r="R10" s="283"/>
      <c r="S10" s="283"/>
      <c r="T10" s="283"/>
      <c r="U10" s="283"/>
      <c r="V10" s="283"/>
      <c r="W10" s="283"/>
      <c r="X10" s="283"/>
      <c r="Y10" s="283"/>
      <c r="Z10" s="283"/>
      <c r="AA10" s="283"/>
      <c r="AB10" s="284">
        <f aca="true" t="shared" si="2" ref="AB10:AB32">MAX(D10:O10)</f>
        <v>-10748.894305904829</v>
      </c>
      <c r="AC10" s="271"/>
      <c r="AD10" s="270">
        <f aca="true" t="shared" si="3" ref="AD10:AD32">MATCH(AB10,D10:O10,1)</f>
        <v>12</v>
      </c>
      <c r="AE10" s="270"/>
      <c r="AF10" s="270"/>
      <c r="AW10" s="266"/>
      <c r="AX10" s="266"/>
      <c r="AY10" s="266"/>
      <c r="AZ10" s="266"/>
      <c r="BA10" s="266"/>
    </row>
    <row r="11" spans="2:53" ht="12" customHeight="1">
      <c r="B11" s="325"/>
      <c r="C11" s="258">
        <f aca="true" t="shared" si="4" ref="C11:C30">+C10+1</f>
        <v>3</v>
      </c>
      <c r="D11" s="283">
        <v>-27508.02132082244</v>
      </c>
      <c r="E11" s="283">
        <v>-13175.05064846707</v>
      </c>
      <c r="F11" s="283">
        <v>-8848.30119071888</v>
      </c>
      <c r="G11" s="283">
        <v>-7081.75110667438</v>
      </c>
      <c r="H11" s="283">
        <v>-5877.907621856694</v>
      </c>
      <c r="I11" s="283">
        <v>-6153.234091041458</v>
      </c>
      <c r="J11" s="283">
        <v>-5880.498222995501</v>
      </c>
      <c r="K11" s="283">
        <v>-5393.32385551921</v>
      </c>
      <c r="L11" s="283">
        <v>-5427.246759587139</v>
      </c>
      <c r="M11" s="283">
        <v>-5958.61355875639</v>
      </c>
      <c r="N11" s="283">
        <v>-7090.197086868352</v>
      </c>
      <c r="O11" s="283">
        <v>-8878.449489366276</v>
      </c>
      <c r="P11" s="283"/>
      <c r="Q11" s="283"/>
      <c r="R11" s="283"/>
      <c r="S11" s="283"/>
      <c r="T11" s="283"/>
      <c r="U11" s="283"/>
      <c r="V11" s="283"/>
      <c r="W11" s="283"/>
      <c r="X11" s="283"/>
      <c r="Y11" s="283"/>
      <c r="Z11" s="283"/>
      <c r="AA11" s="283"/>
      <c r="AB11" s="284">
        <f t="shared" si="2"/>
        <v>-5393.32385551921</v>
      </c>
      <c r="AC11" s="271"/>
      <c r="AD11" s="270">
        <f t="shared" si="3"/>
        <v>12</v>
      </c>
      <c r="AE11" s="270"/>
      <c r="AF11" s="270"/>
      <c r="AW11" s="266"/>
      <c r="AX11" s="266"/>
      <c r="AY11" s="266"/>
      <c r="AZ11" s="266"/>
      <c r="BA11" s="266"/>
    </row>
    <row r="12" spans="2:53" ht="12" customHeight="1">
      <c r="B12" s="325"/>
      <c r="C12" s="258">
        <f t="shared" si="4"/>
        <v>4</v>
      </c>
      <c r="D12" s="283">
        <v>-24731.22430487559</v>
      </c>
      <c r="E12" s="283">
        <v>-10408.650981683008</v>
      </c>
      <c r="F12" s="283">
        <v>-6069.287864654772</v>
      </c>
      <c r="G12" s="283">
        <v>-4348.262499772376</v>
      </c>
      <c r="H12" s="283">
        <v>-3117.8956585288724</v>
      </c>
      <c r="I12" s="283">
        <v>-3397.9260631669317</v>
      </c>
      <c r="J12" s="283">
        <v>-3141.101550080268</v>
      </c>
      <c r="K12" s="283">
        <v>-2679.9933105994023</v>
      </c>
      <c r="L12" s="283">
        <v>-2672.150812739053</v>
      </c>
      <c r="M12" s="283">
        <v>-3220.3182112347445</v>
      </c>
      <c r="N12" s="283">
        <v>-4375.511956813013</v>
      </c>
      <c r="O12" s="283">
        <v>-6194.899367475176</v>
      </c>
      <c r="P12" s="283"/>
      <c r="Q12" s="283"/>
      <c r="R12" s="283"/>
      <c r="S12" s="283"/>
      <c r="T12" s="283"/>
      <c r="U12" s="283"/>
      <c r="V12" s="283"/>
      <c r="W12" s="283"/>
      <c r="X12" s="283"/>
      <c r="Y12" s="283"/>
      <c r="Z12" s="283"/>
      <c r="AA12" s="283"/>
      <c r="AB12" s="284">
        <f t="shared" si="2"/>
        <v>-2672.150812739053</v>
      </c>
      <c r="AC12" s="271"/>
      <c r="AD12" s="270">
        <f t="shared" si="3"/>
        <v>9</v>
      </c>
      <c r="AE12" s="270"/>
      <c r="AF12" s="270"/>
      <c r="AW12" s="266"/>
      <c r="AX12" s="266"/>
      <c r="AY12" s="266"/>
      <c r="AZ12" s="266"/>
      <c r="BA12" s="266"/>
    </row>
    <row r="13" spans="2:53" ht="12" customHeight="1">
      <c r="B13" s="325"/>
      <c r="C13" s="258">
        <f t="shared" si="4"/>
        <v>5</v>
      </c>
      <c r="D13" s="283">
        <v>-22593.5613435228</v>
      </c>
      <c r="E13" s="283">
        <v>-8269.24436708207</v>
      </c>
      <c r="F13" s="283">
        <v>-3931.236091366403</v>
      </c>
      <c r="G13" s="283">
        <v>-2183.8243950989977</v>
      </c>
      <c r="H13" s="283">
        <v>-1049.774560404058</v>
      </c>
      <c r="I13" s="283">
        <v>-1265.0548774219515</v>
      </c>
      <c r="J13" s="283">
        <v>-1020.8966251827156</v>
      </c>
      <c r="K13" s="283">
        <v>-537.2743882830382</v>
      </c>
      <c r="L13" s="283">
        <v>-580.8039161168072</v>
      </c>
      <c r="M13" s="283">
        <v>-1198.6724281993847</v>
      </c>
      <c r="N13" s="283">
        <v>-2302.415138936313</v>
      </c>
      <c r="O13" s="283">
        <v>-4055.700580252429</v>
      </c>
      <c r="P13" s="283"/>
      <c r="Q13" s="283"/>
      <c r="R13" s="283"/>
      <c r="S13" s="283"/>
      <c r="T13" s="283"/>
      <c r="U13" s="283"/>
      <c r="V13" s="283"/>
      <c r="W13" s="283"/>
      <c r="X13" s="283"/>
      <c r="Y13" s="283"/>
      <c r="Z13" s="283"/>
      <c r="AA13" s="283"/>
      <c r="AB13" s="284">
        <f t="shared" si="2"/>
        <v>-537.2743882830382</v>
      </c>
      <c r="AC13" s="271"/>
      <c r="AD13" s="270">
        <f t="shared" si="3"/>
        <v>12</v>
      </c>
      <c r="AE13" s="270"/>
      <c r="AF13" s="270"/>
      <c r="AW13" s="266"/>
      <c r="AX13" s="266"/>
      <c r="AY13" s="266"/>
      <c r="AZ13" s="266"/>
      <c r="BA13" s="266"/>
    </row>
    <row r="14" spans="2:53" ht="12" customHeight="1">
      <c r="B14" s="325"/>
      <c r="C14" s="258">
        <f t="shared" si="4"/>
        <v>6</v>
      </c>
      <c r="D14" s="283">
        <v>-21654.19483990287</v>
      </c>
      <c r="E14" s="283">
        <v>-7343.077986606718</v>
      </c>
      <c r="F14" s="283">
        <v>-3029.3855362972768</v>
      </c>
      <c r="G14" s="283">
        <v>-1286.5505056774055</v>
      </c>
      <c r="H14" s="283">
        <v>-90.06282322062725</v>
      </c>
      <c r="I14" s="283">
        <v>-444.04450968949095</v>
      </c>
      <c r="J14" s="283">
        <v>-149.27315706024274</v>
      </c>
      <c r="K14" s="283">
        <v>358.8389679175113</v>
      </c>
      <c r="L14" s="283">
        <v>344.77932708998924</v>
      </c>
      <c r="M14" s="283">
        <v>-238.0195731235011</v>
      </c>
      <c r="N14" s="283">
        <v>-1441.8820125105678</v>
      </c>
      <c r="O14" s="283">
        <v>-3325.449856359666</v>
      </c>
      <c r="P14" s="283"/>
      <c r="Q14" s="283"/>
      <c r="R14" s="283"/>
      <c r="S14" s="283"/>
      <c r="T14" s="283"/>
      <c r="U14" s="283"/>
      <c r="V14" s="283"/>
      <c r="W14" s="283"/>
      <c r="X14" s="283"/>
      <c r="Y14" s="283"/>
      <c r="Z14" s="283"/>
      <c r="AA14" s="283"/>
      <c r="AB14" s="284">
        <f t="shared" si="2"/>
        <v>358.8389679175113</v>
      </c>
      <c r="AC14" s="271"/>
      <c r="AD14" s="270">
        <f t="shared" si="3"/>
        <v>12</v>
      </c>
      <c r="AE14" s="270"/>
      <c r="AF14" s="270"/>
      <c r="AW14" s="266"/>
      <c r="AX14" s="266"/>
      <c r="AY14" s="266"/>
      <c r="AZ14" s="266"/>
      <c r="BA14" s="266"/>
    </row>
    <row r="15" spans="2:53" ht="12" customHeight="1">
      <c r="B15" s="325"/>
      <c r="C15" s="258">
        <f t="shared" si="4"/>
        <v>7</v>
      </c>
      <c r="D15" s="283">
        <v>-20129.023658316866</v>
      </c>
      <c r="E15" s="283">
        <v>-5811.92451801468</v>
      </c>
      <c r="F15" s="283">
        <v>-1491.8867488435244</v>
      </c>
      <c r="G15" s="283">
        <v>236.3044953312201</v>
      </c>
      <c r="H15" s="283">
        <v>1421.425256706522</v>
      </c>
      <c r="I15" s="283">
        <v>1114.8223559376759</v>
      </c>
      <c r="J15" s="283">
        <v>1263.2390857383987</v>
      </c>
      <c r="K15" s="283">
        <v>1790.6959070065877</v>
      </c>
      <c r="L15" s="283">
        <v>1801.1410794404335</v>
      </c>
      <c r="M15" s="283">
        <v>1248.604279434742</v>
      </c>
      <c r="N15" s="283">
        <v>81.43610231674938</v>
      </c>
      <c r="O15" s="283">
        <v>-1758.2447804290016</v>
      </c>
      <c r="P15" s="283"/>
      <c r="Q15" s="283"/>
      <c r="R15" s="283"/>
      <c r="S15" s="283"/>
      <c r="T15" s="283"/>
      <c r="U15" s="283"/>
      <c r="V15" s="283"/>
      <c r="W15" s="283"/>
      <c r="X15" s="283"/>
      <c r="Y15" s="283"/>
      <c r="Z15" s="283"/>
      <c r="AA15" s="283"/>
      <c r="AB15" s="284">
        <f t="shared" si="2"/>
        <v>1801.1410794404335</v>
      </c>
      <c r="AC15" s="271"/>
      <c r="AD15" s="270">
        <f t="shared" si="3"/>
        <v>9</v>
      </c>
      <c r="AE15" s="270"/>
      <c r="AF15" s="270"/>
      <c r="AW15" s="266"/>
      <c r="AX15" s="266"/>
      <c r="AY15" s="266"/>
      <c r="AZ15" s="266"/>
      <c r="BA15" s="266"/>
    </row>
    <row r="16" spans="2:53" ht="12" customHeight="1">
      <c r="B16" s="325"/>
      <c r="C16" s="258">
        <f t="shared" si="4"/>
        <v>8</v>
      </c>
      <c r="D16" s="283">
        <v>-19310.45549375397</v>
      </c>
      <c r="E16" s="283">
        <v>-5002.032480312998</v>
      </c>
      <c r="F16" s="283">
        <v>-675.7757156136928</v>
      </c>
      <c r="G16" s="283">
        <v>1027.4426639765777</v>
      </c>
      <c r="H16" s="283">
        <v>2234.8943016370963</v>
      </c>
      <c r="I16" s="283">
        <v>1951.8760329659526</v>
      </c>
      <c r="J16" s="283">
        <v>2117.1877185445132</v>
      </c>
      <c r="K16" s="283">
        <v>2527.346539246329</v>
      </c>
      <c r="L16" s="283">
        <v>2545.8347884281316</v>
      </c>
      <c r="M16" s="283">
        <v>2007.7814759138498</v>
      </c>
      <c r="N16" s="283">
        <v>862.1815093601508</v>
      </c>
      <c r="O16" s="283">
        <v>-948.1199272705393</v>
      </c>
      <c r="P16" s="283"/>
      <c r="Q16" s="283"/>
      <c r="R16" s="283"/>
      <c r="S16" s="283"/>
      <c r="T16" s="283"/>
      <c r="U16" s="283"/>
      <c r="V16" s="283"/>
      <c r="W16" s="283"/>
      <c r="X16" s="283"/>
      <c r="Y16" s="283"/>
      <c r="Z16" s="283"/>
      <c r="AA16" s="283"/>
      <c r="AB16" s="284">
        <f t="shared" si="2"/>
        <v>2545.8347884281316</v>
      </c>
      <c r="AC16" s="271"/>
      <c r="AD16" s="270">
        <f t="shared" si="3"/>
        <v>9</v>
      </c>
      <c r="AE16" s="270"/>
      <c r="AF16" s="270"/>
      <c r="AW16" s="266"/>
      <c r="AX16" s="266"/>
      <c r="AY16" s="266"/>
      <c r="AZ16" s="266"/>
      <c r="BA16" s="266"/>
    </row>
    <row r="17" spans="2:53" ht="12" customHeight="1">
      <c r="B17" s="325"/>
      <c r="C17" s="258">
        <f t="shared" si="4"/>
        <v>9</v>
      </c>
      <c r="D17" s="283">
        <v>-18554.74210949529</v>
      </c>
      <c r="E17" s="283">
        <v>-4242.2310372788115</v>
      </c>
      <c r="F17" s="283">
        <v>54.44458556045174</v>
      </c>
      <c r="G17" s="283">
        <v>1796.1749942320166</v>
      </c>
      <c r="H17" s="283">
        <v>2956.5035804397176</v>
      </c>
      <c r="I17" s="283">
        <v>2702.622117493396</v>
      </c>
      <c r="J17" s="283">
        <v>2890.2239312929064</v>
      </c>
      <c r="K17" s="283">
        <v>3306.2381041073622</v>
      </c>
      <c r="L17" s="283">
        <v>3165.459062030121</v>
      </c>
      <c r="M17" s="283">
        <v>2641.6010638641364</v>
      </c>
      <c r="N17" s="283">
        <v>1517.140055542611</v>
      </c>
      <c r="O17" s="283">
        <v>-264.3668267917922</v>
      </c>
      <c r="P17" s="283"/>
      <c r="Q17" s="283"/>
      <c r="R17" s="283"/>
      <c r="S17" s="283"/>
      <c r="T17" s="283"/>
      <c r="U17" s="283"/>
      <c r="V17" s="283"/>
      <c r="W17" s="283"/>
      <c r="X17" s="283"/>
      <c r="Y17" s="283"/>
      <c r="Z17" s="283"/>
      <c r="AA17" s="283"/>
      <c r="AB17" s="284">
        <f t="shared" si="2"/>
        <v>3306.2381041073622</v>
      </c>
      <c r="AC17" s="271"/>
      <c r="AD17" s="270">
        <f t="shared" si="3"/>
        <v>12</v>
      </c>
      <c r="AE17" s="270"/>
      <c r="AF17" s="270"/>
      <c r="AW17" s="266"/>
      <c r="AX17" s="266"/>
      <c r="AY17" s="266"/>
      <c r="AZ17" s="266"/>
      <c r="BA17" s="266"/>
    </row>
    <row r="18" spans="2:53" ht="12" customHeight="1">
      <c r="B18" s="325"/>
      <c r="C18" s="258">
        <f t="shared" si="4"/>
        <v>10</v>
      </c>
      <c r="D18" s="283">
        <v>-17866.346771259832</v>
      </c>
      <c r="E18" s="283">
        <v>-3570.285848237077</v>
      </c>
      <c r="F18" s="283">
        <v>749.2404820827973</v>
      </c>
      <c r="G18" s="283">
        <v>2476.8733231059236</v>
      </c>
      <c r="H18" s="283">
        <v>3571.0565424690517</v>
      </c>
      <c r="I18" s="283">
        <v>3352.7066770986935</v>
      </c>
      <c r="J18" s="283">
        <v>3568.8067704992263</v>
      </c>
      <c r="K18" s="283">
        <v>3996.8934100482043</v>
      </c>
      <c r="L18" s="283">
        <v>3867.524293562183</v>
      </c>
      <c r="M18" s="283">
        <v>3130.3102365493673</v>
      </c>
      <c r="N18" s="283">
        <v>2026.5675258124381</v>
      </c>
      <c r="O18" s="283">
        <v>273.28208449632194</v>
      </c>
      <c r="P18" s="283"/>
      <c r="Q18" s="283"/>
      <c r="R18" s="283"/>
      <c r="S18" s="283"/>
      <c r="T18" s="283"/>
      <c r="U18" s="283"/>
      <c r="V18" s="283"/>
      <c r="W18" s="283"/>
      <c r="X18" s="283"/>
      <c r="Y18" s="283"/>
      <c r="Z18" s="283"/>
      <c r="AA18" s="283"/>
      <c r="AB18" s="284">
        <f t="shared" si="2"/>
        <v>3996.8934100482043</v>
      </c>
      <c r="AC18" s="271"/>
      <c r="AD18" s="270">
        <f t="shared" si="3"/>
        <v>12</v>
      </c>
      <c r="AE18" s="270"/>
      <c r="AF18" s="270"/>
      <c r="AW18" s="266"/>
      <c r="AX18" s="266"/>
      <c r="AY18" s="266"/>
      <c r="AZ18" s="266"/>
      <c r="BA18" s="266"/>
    </row>
    <row r="19" spans="2:53" ht="12" customHeight="1">
      <c r="B19" s="325"/>
      <c r="C19" s="258">
        <f t="shared" si="4"/>
        <v>11</v>
      </c>
      <c r="D19" s="283">
        <v>-17250.11166942778</v>
      </c>
      <c r="E19" s="283">
        <v>-2951.952212909708</v>
      </c>
      <c r="F19" s="283">
        <v>1347.8734952977993</v>
      </c>
      <c r="G19" s="283">
        <v>3054.701000920784</v>
      </c>
      <c r="H19" s="283">
        <v>4194.012230502335</v>
      </c>
      <c r="I19" s="283">
        <v>3885.5018734469936</v>
      </c>
      <c r="J19" s="283">
        <v>4137.2238531253215</v>
      </c>
      <c r="K19" s="283">
        <v>4584.479882039392</v>
      </c>
      <c r="L19" s="283">
        <v>4473.28195351301</v>
      </c>
      <c r="M19" s="283">
        <v>3753.2659245826503</v>
      </c>
      <c r="N19" s="283">
        <v>2367.816967059595</v>
      </c>
      <c r="O19" s="283">
        <v>642.1913388678573</v>
      </c>
      <c r="P19" s="283"/>
      <c r="Q19" s="283"/>
      <c r="R19" s="283"/>
      <c r="S19" s="283"/>
      <c r="T19" s="283"/>
      <c r="U19" s="283"/>
      <c r="V19" s="283"/>
      <c r="W19" s="283"/>
      <c r="X19" s="283"/>
      <c r="Y19" s="283"/>
      <c r="Z19" s="283"/>
      <c r="AA19" s="283"/>
      <c r="AB19" s="284">
        <f t="shared" si="2"/>
        <v>4584.479882039392</v>
      </c>
      <c r="AC19" s="271"/>
      <c r="AD19" s="270">
        <f t="shared" si="3"/>
        <v>12</v>
      </c>
      <c r="AE19" s="270"/>
      <c r="AF19" s="270"/>
      <c r="AW19" s="266"/>
      <c r="AX19" s="266"/>
      <c r="AY19" s="266"/>
      <c r="AZ19" s="266"/>
      <c r="BA19" s="266"/>
    </row>
    <row r="20" spans="2:53" ht="12" customHeight="1">
      <c r="B20" s="325"/>
      <c r="C20" s="258">
        <f t="shared" si="4"/>
        <v>12</v>
      </c>
      <c r="D20" s="283">
        <v>-16711.28681019073</v>
      </c>
      <c r="E20" s="283">
        <v>-2438.7062872470574</v>
      </c>
      <c r="F20" s="283">
        <v>1834.1109092096183</v>
      </c>
      <c r="G20" s="283">
        <v>3512.465129240103</v>
      </c>
      <c r="H20" s="283">
        <v>4711.788225445766</v>
      </c>
      <c r="I20" s="283">
        <v>4281.800835494273</v>
      </c>
      <c r="J20" s="283">
        <v>4577.295632665731</v>
      </c>
      <c r="K20" s="283">
        <v>5051.808594868763</v>
      </c>
      <c r="L20" s="283">
        <v>4966.502226636509</v>
      </c>
      <c r="M20" s="283">
        <v>4271.041919526081</v>
      </c>
      <c r="N20" s="283">
        <v>2908.8452864667265</v>
      </c>
      <c r="O20" s="283">
        <v>816.4687063016827</v>
      </c>
      <c r="P20" s="283"/>
      <c r="Q20" s="283"/>
      <c r="R20" s="283"/>
      <c r="S20" s="283"/>
      <c r="T20" s="283"/>
      <c r="U20" s="283"/>
      <c r="V20" s="283"/>
      <c r="W20" s="283"/>
      <c r="X20" s="283"/>
      <c r="Y20" s="283"/>
      <c r="Z20" s="283"/>
      <c r="AA20" s="283"/>
      <c r="AB20" s="284">
        <f t="shared" si="2"/>
        <v>5051.808594868763</v>
      </c>
      <c r="AC20" s="271"/>
      <c r="AD20" s="270">
        <f t="shared" si="3"/>
        <v>12</v>
      </c>
      <c r="AE20" s="270"/>
      <c r="AF20" s="270"/>
      <c r="AW20" s="266"/>
      <c r="AX20" s="266"/>
      <c r="AY20" s="266"/>
      <c r="AZ20" s="266"/>
      <c r="BA20" s="266"/>
    </row>
    <row r="21" spans="2:53" ht="12" customHeight="1">
      <c r="B21" s="325"/>
      <c r="C21" s="258">
        <f t="shared" si="4"/>
        <v>13</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f t="shared" si="2"/>
        <v>0</v>
      </c>
      <c r="AC21" s="271"/>
      <c r="AD21" s="270" t="e">
        <f t="shared" si="3"/>
        <v>#N/A</v>
      </c>
      <c r="AE21" s="270"/>
      <c r="AF21" s="270"/>
      <c r="AW21" s="266"/>
      <c r="AX21" s="266"/>
      <c r="AY21" s="266"/>
      <c r="AZ21" s="266"/>
      <c r="BA21" s="266"/>
    </row>
    <row r="22" spans="2:53" ht="12" customHeight="1">
      <c r="B22" s="325"/>
      <c r="C22" s="258">
        <f t="shared" si="4"/>
        <v>14</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4">
        <f t="shared" si="2"/>
        <v>0</v>
      </c>
      <c r="AC22" s="271"/>
      <c r="AD22" s="270" t="e">
        <f t="shared" si="3"/>
        <v>#N/A</v>
      </c>
      <c r="AE22" s="270"/>
      <c r="AF22" s="270"/>
      <c r="AW22" s="266"/>
      <c r="AX22" s="266"/>
      <c r="AY22" s="266"/>
      <c r="AZ22" s="266"/>
      <c r="BA22" s="266"/>
    </row>
    <row r="23" spans="2:53" ht="12" customHeight="1">
      <c r="B23" s="325"/>
      <c r="C23" s="258">
        <f t="shared" si="4"/>
        <v>15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4">
        <f t="shared" si="2"/>
        <v>0</v>
      </c>
      <c r="AC23" s="271"/>
      <c r="AD23" s="270" t="e">
        <f t="shared" si="3"/>
        <v>#N/A</v>
      </c>
      <c r="AE23" s="270"/>
      <c r="AF23" s="270"/>
      <c r="AW23" s="266"/>
      <c r="AX23" s="266"/>
      <c r="AY23" s="266"/>
      <c r="AZ23" s="266"/>
      <c r="BA23" s="266"/>
    </row>
    <row r="24" spans="2:53" ht="12" customHeight="1">
      <c r="B24" s="325"/>
      <c r="C24" s="258">
        <f t="shared" si="4"/>
        <v>16</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4">
        <f t="shared" si="2"/>
        <v>0</v>
      </c>
      <c r="AC24" s="271"/>
      <c r="AD24" s="270" t="e">
        <f t="shared" si="3"/>
        <v>#N/A</v>
      </c>
      <c r="AE24" s="270"/>
      <c r="AF24" s="270"/>
      <c r="AW24" s="266"/>
      <c r="AX24" s="266"/>
      <c r="AY24" s="266"/>
      <c r="AZ24" s="266"/>
      <c r="BA24" s="266"/>
    </row>
    <row r="25" spans="2:53" ht="12" customHeight="1">
      <c r="B25" s="325"/>
      <c r="C25" s="258">
        <f t="shared" si="4"/>
        <v>17</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4">
        <f t="shared" si="2"/>
        <v>0</v>
      </c>
      <c r="AC25" s="271"/>
      <c r="AD25" s="270" t="e">
        <f t="shared" si="3"/>
        <v>#N/A</v>
      </c>
      <c r="AE25" s="270"/>
      <c r="AF25" s="270"/>
      <c r="AW25" s="266"/>
      <c r="AX25" s="266"/>
      <c r="AY25" s="266"/>
      <c r="AZ25" s="266"/>
      <c r="BA25" s="266"/>
    </row>
    <row r="26" spans="2:53" ht="12" customHeight="1">
      <c r="B26" s="325"/>
      <c r="C26" s="258">
        <f t="shared" si="4"/>
        <v>18</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4">
        <f t="shared" si="2"/>
        <v>0</v>
      </c>
      <c r="AC26" s="271"/>
      <c r="AD26" s="270" t="e">
        <f t="shared" si="3"/>
        <v>#N/A</v>
      </c>
      <c r="AE26" s="270"/>
      <c r="AF26" s="270"/>
      <c r="AW26" s="266"/>
      <c r="AX26" s="266"/>
      <c r="AY26" s="266"/>
      <c r="AZ26" s="266"/>
      <c r="BA26" s="266"/>
    </row>
    <row r="27" spans="2:53" ht="12" customHeight="1">
      <c r="B27" s="325"/>
      <c r="C27" s="258">
        <f t="shared" si="4"/>
        <v>19</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f t="shared" si="2"/>
        <v>0</v>
      </c>
      <c r="AC27" s="271"/>
      <c r="AD27" s="270" t="e">
        <f t="shared" si="3"/>
        <v>#N/A</v>
      </c>
      <c r="AE27" s="270"/>
      <c r="AF27" s="270"/>
      <c r="AW27" s="266"/>
      <c r="AX27" s="266"/>
      <c r="AY27" s="266"/>
      <c r="AZ27" s="266"/>
      <c r="BA27" s="266"/>
    </row>
    <row r="28" spans="2:53" ht="12" customHeight="1">
      <c r="B28" s="325"/>
      <c r="C28" s="258">
        <f t="shared" si="4"/>
        <v>20</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4">
        <f t="shared" si="2"/>
        <v>0</v>
      </c>
      <c r="AC28" s="271"/>
      <c r="AD28" s="270" t="e">
        <f t="shared" si="3"/>
        <v>#N/A</v>
      </c>
      <c r="AE28" s="270"/>
      <c r="AF28" s="270"/>
      <c r="AW28" s="266"/>
      <c r="AX28" s="266"/>
      <c r="AY28" s="266"/>
      <c r="AZ28" s="266"/>
      <c r="BA28" s="266"/>
    </row>
    <row r="29" spans="2:53" ht="12" customHeight="1">
      <c r="B29" s="325"/>
      <c r="C29" s="258">
        <f t="shared" si="4"/>
        <v>21</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4">
        <f t="shared" si="2"/>
        <v>0</v>
      </c>
      <c r="AC29" s="271"/>
      <c r="AD29" s="270" t="e">
        <f t="shared" si="3"/>
        <v>#N/A</v>
      </c>
      <c r="AE29" s="270"/>
      <c r="AF29" s="270"/>
      <c r="AW29" s="266"/>
      <c r="AX29" s="266"/>
      <c r="AY29" s="266"/>
      <c r="AZ29" s="266"/>
      <c r="BA29" s="266"/>
    </row>
    <row r="30" spans="2:53" ht="12" customHeight="1">
      <c r="B30" s="325"/>
      <c r="C30" s="258">
        <f t="shared" si="4"/>
        <v>22</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4">
        <f t="shared" si="2"/>
        <v>0</v>
      </c>
      <c r="AC30" s="271"/>
      <c r="AD30" s="270" t="e">
        <f t="shared" si="3"/>
        <v>#N/A</v>
      </c>
      <c r="AE30" s="270"/>
      <c r="AF30" s="270"/>
      <c r="AW30" s="266"/>
      <c r="AX30" s="266"/>
      <c r="AY30" s="266"/>
      <c r="AZ30" s="266"/>
      <c r="BA30" s="266"/>
    </row>
    <row r="31" spans="2:53" ht="12" customHeight="1">
      <c r="B31" s="325"/>
      <c r="C31" s="258">
        <v>23</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4">
        <f t="shared" si="2"/>
        <v>0</v>
      </c>
      <c r="AC31" s="271"/>
      <c r="AD31" s="270" t="e">
        <f t="shared" si="3"/>
        <v>#N/A</v>
      </c>
      <c r="AE31" s="270"/>
      <c r="AF31" s="270"/>
      <c r="AW31" s="266"/>
      <c r="AX31" s="266"/>
      <c r="AY31" s="266"/>
      <c r="AZ31" s="266"/>
      <c r="BA31" s="266"/>
    </row>
    <row r="32" spans="2:53" ht="12" customHeight="1">
      <c r="B32" s="325"/>
      <c r="C32" s="258">
        <v>24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4">
        <f t="shared" si="2"/>
        <v>0</v>
      </c>
      <c r="AC32" s="271"/>
      <c r="AD32" s="270" t="e">
        <f t="shared" si="3"/>
        <v>#N/A</v>
      </c>
      <c r="AE32" s="270"/>
      <c r="AF32" s="270"/>
      <c r="AW32" s="266"/>
      <c r="AX32" s="266"/>
      <c r="AY32" s="266"/>
      <c r="AZ32" s="266"/>
      <c r="BA32" s="266"/>
    </row>
    <row r="33" spans="2:53" ht="12" customHeight="1">
      <c r="B33" s="326"/>
      <c r="C33" s="259"/>
      <c r="D33" s="285">
        <f aca="true" t="shared" si="5" ref="D33:AA33">MATCH(D40,D9:D33,0)</f>
        <v>12</v>
      </c>
      <c r="E33" s="285">
        <f t="shared" si="5"/>
        <v>12</v>
      </c>
      <c r="F33" s="285">
        <f t="shared" si="5"/>
        <v>12</v>
      </c>
      <c r="G33" s="285">
        <f t="shared" si="5"/>
        <v>12</v>
      </c>
      <c r="H33" s="285">
        <f t="shared" si="5"/>
        <v>12</v>
      </c>
      <c r="I33" s="285">
        <f t="shared" si="5"/>
        <v>12</v>
      </c>
      <c r="J33" s="285">
        <f t="shared" si="5"/>
        <v>12</v>
      </c>
      <c r="K33" s="285">
        <f t="shared" si="5"/>
        <v>12</v>
      </c>
      <c r="L33" s="285">
        <f t="shared" si="5"/>
        <v>12</v>
      </c>
      <c r="M33" s="285">
        <f t="shared" si="5"/>
        <v>12</v>
      </c>
      <c r="N33" s="285">
        <f t="shared" si="5"/>
        <v>12</v>
      </c>
      <c r="O33" s="285">
        <f t="shared" si="5"/>
        <v>12</v>
      </c>
      <c r="P33" s="285" t="e">
        <f t="shared" si="5"/>
        <v>#N/A</v>
      </c>
      <c r="Q33" s="285" t="e">
        <f t="shared" si="5"/>
        <v>#N/A</v>
      </c>
      <c r="R33" s="285" t="e">
        <f t="shared" si="5"/>
        <v>#N/A</v>
      </c>
      <c r="S33" s="285" t="e">
        <f t="shared" si="5"/>
        <v>#N/A</v>
      </c>
      <c r="T33" s="285" t="e">
        <f t="shared" si="5"/>
        <v>#N/A</v>
      </c>
      <c r="U33" s="285" t="e">
        <f t="shared" si="5"/>
        <v>#N/A</v>
      </c>
      <c r="V33" s="285" t="e">
        <f t="shared" si="5"/>
        <v>#N/A</v>
      </c>
      <c r="W33" s="285" t="e">
        <f t="shared" si="5"/>
        <v>#N/A</v>
      </c>
      <c r="X33" s="285" t="e">
        <f t="shared" si="5"/>
        <v>#N/A</v>
      </c>
      <c r="Y33" s="285" t="e">
        <f t="shared" si="5"/>
        <v>#N/A</v>
      </c>
      <c r="Z33" s="285" t="e">
        <f t="shared" si="5"/>
        <v>#N/A</v>
      </c>
      <c r="AA33" s="285" t="e">
        <f t="shared" si="5"/>
        <v>#N/A</v>
      </c>
      <c r="AB33" s="286"/>
      <c r="AC33" s="270"/>
      <c r="AD33" s="270"/>
      <c r="AE33" s="270"/>
      <c r="AF33" s="270"/>
      <c r="AG33" s="266"/>
      <c r="AH33" s="266"/>
      <c r="AI33" s="266"/>
      <c r="AJ33" s="266"/>
      <c r="AK33" s="266"/>
      <c r="AL33" s="266"/>
      <c r="AM33" s="266"/>
      <c r="AN33" s="266"/>
      <c r="AO33" s="266"/>
      <c r="AP33" s="266"/>
      <c r="AQ33" s="266"/>
      <c r="AR33" s="266"/>
      <c r="AS33" s="266"/>
      <c r="AT33" s="266"/>
      <c r="AU33" s="266"/>
      <c r="AV33" s="266"/>
      <c r="AW33" s="266"/>
      <c r="AX33" s="266"/>
      <c r="AY33" s="266"/>
      <c r="AZ33" s="266"/>
      <c r="BA33" s="266"/>
    </row>
    <row r="34" spans="2:53" ht="12" customHeight="1">
      <c r="B34" s="267"/>
      <c r="C34" s="268"/>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row>
    <row r="35" spans="2:53" ht="12" customHeight="1">
      <c r="B35" s="267"/>
      <c r="C35" s="268"/>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2:53" ht="12" customHeight="1">
      <c r="B36" s="267"/>
      <c r="C36" s="268"/>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row>
    <row r="37" spans="2:53" ht="12" customHeight="1">
      <c r="B37" s="267"/>
      <c r="C37" s="268"/>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row>
    <row r="38" spans="2:53" ht="12" customHeight="1">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row>
    <row r="39" spans="2:53" ht="12" customHeight="1">
      <c r="B39" s="270"/>
      <c r="C39" s="270"/>
      <c r="D39" s="271">
        <v>1</v>
      </c>
      <c r="E39" s="271">
        <f>+D39+1</f>
        <v>2</v>
      </c>
      <c r="F39" s="271">
        <f aca="true" t="shared" si="6" ref="F39:AA39">+E39+1</f>
        <v>3</v>
      </c>
      <c r="G39" s="271">
        <f t="shared" si="6"/>
        <v>4</v>
      </c>
      <c r="H39" s="271">
        <f t="shared" si="6"/>
        <v>5</v>
      </c>
      <c r="I39" s="271">
        <f t="shared" si="6"/>
        <v>6</v>
      </c>
      <c r="J39" s="271">
        <f t="shared" si="6"/>
        <v>7</v>
      </c>
      <c r="K39" s="271">
        <f t="shared" si="6"/>
        <v>8</v>
      </c>
      <c r="L39" s="271">
        <f t="shared" si="6"/>
        <v>9</v>
      </c>
      <c r="M39" s="271">
        <f t="shared" si="6"/>
        <v>10</v>
      </c>
      <c r="N39" s="271">
        <f t="shared" si="6"/>
        <v>11</v>
      </c>
      <c r="O39" s="271">
        <f t="shared" si="6"/>
        <v>12</v>
      </c>
      <c r="P39" s="271">
        <f t="shared" si="6"/>
        <v>13</v>
      </c>
      <c r="Q39" s="271">
        <f t="shared" si="6"/>
        <v>14</v>
      </c>
      <c r="R39" s="271">
        <f t="shared" si="6"/>
        <v>15</v>
      </c>
      <c r="S39" s="271">
        <f t="shared" si="6"/>
        <v>16</v>
      </c>
      <c r="T39" s="271">
        <f t="shared" si="6"/>
        <v>17</v>
      </c>
      <c r="U39" s="271">
        <f t="shared" si="6"/>
        <v>18</v>
      </c>
      <c r="V39" s="271">
        <f t="shared" si="6"/>
        <v>19</v>
      </c>
      <c r="W39" s="271">
        <f t="shared" si="6"/>
        <v>20</v>
      </c>
      <c r="X39" s="271">
        <f t="shared" si="6"/>
        <v>21</v>
      </c>
      <c r="Y39" s="271">
        <f t="shared" si="6"/>
        <v>22</v>
      </c>
      <c r="Z39" s="271">
        <f t="shared" si="6"/>
        <v>23</v>
      </c>
      <c r="AA39" s="271">
        <f t="shared" si="6"/>
        <v>24</v>
      </c>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row>
    <row r="40" spans="2:53" ht="12" customHeight="1">
      <c r="B40" s="270"/>
      <c r="C40" s="270"/>
      <c r="D40" s="271">
        <f aca="true" t="shared" si="7" ref="D40:AA40">MAX(D9:D32)</f>
        <v>-16711.28681019073</v>
      </c>
      <c r="E40" s="271">
        <f t="shared" si="7"/>
        <v>-2438.7062872470574</v>
      </c>
      <c r="F40" s="271">
        <f t="shared" si="7"/>
        <v>1834.1109092096183</v>
      </c>
      <c r="G40" s="271">
        <f t="shared" si="7"/>
        <v>3512.465129240103</v>
      </c>
      <c r="H40" s="271">
        <f t="shared" si="7"/>
        <v>4711.788225445766</v>
      </c>
      <c r="I40" s="271">
        <f t="shared" si="7"/>
        <v>4281.800835494273</v>
      </c>
      <c r="J40" s="271">
        <f t="shared" si="7"/>
        <v>4577.295632665731</v>
      </c>
      <c r="K40" s="271">
        <f t="shared" si="7"/>
        <v>5051.808594868763</v>
      </c>
      <c r="L40" s="271">
        <f t="shared" si="7"/>
        <v>4966.502226636509</v>
      </c>
      <c r="M40" s="271">
        <f t="shared" si="7"/>
        <v>4271.041919526081</v>
      </c>
      <c r="N40" s="271">
        <f t="shared" si="7"/>
        <v>2908.8452864667265</v>
      </c>
      <c r="O40" s="271">
        <f t="shared" si="7"/>
        <v>816.4687063016827</v>
      </c>
      <c r="P40" s="271">
        <f t="shared" si="7"/>
        <v>0</v>
      </c>
      <c r="Q40" s="271">
        <f t="shared" si="7"/>
        <v>0</v>
      </c>
      <c r="R40" s="271">
        <f t="shared" si="7"/>
        <v>0</v>
      </c>
      <c r="S40" s="271">
        <f t="shared" si="7"/>
        <v>0</v>
      </c>
      <c r="T40" s="271">
        <f t="shared" si="7"/>
        <v>0</v>
      </c>
      <c r="U40" s="271">
        <f t="shared" si="7"/>
        <v>0</v>
      </c>
      <c r="V40" s="271">
        <f t="shared" si="7"/>
        <v>0</v>
      </c>
      <c r="W40" s="271">
        <f t="shared" si="7"/>
        <v>0</v>
      </c>
      <c r="X40" s="271">
        <f t="shared" si="7"/>
        <v>0</v>
      </c>
      <c r="Y40" s="271">
        <f t="shared" si="7"/>
        <v>0</v>
      </c>
      <c r="Z40" s="271">
        <f t="shared" si="7"/>
        <v>0</v>
      </c>
      <c r="AA40" s="271">
        <f t="shared" si="7"/>
        <v>0</v>
      </c>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row>
    <row r="41" spans="2:53" ht="12" customHeight="1">
      <c r="B41" s="270"/>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row>
    <row r="42" spans="2:53" ht="12" customHeight="1">
      <c r="B42" s="270"/>
      <c r="C42" s="270"/>
      <c r="D42" s="271" t="s">
        <v>161</v>
      </c>
      <c r="E42" s="271">
        <f>MATCH(MAX(D40:AA40),D40:AA40,0)</f>
        <v>8</v>
      </c>
      <c r="F42" s="271"/>
      <c r="G42" s="271" t="s">
        <v>158</v>
      </c>
      <c r="H42" s="271">
        <f ca="1">OFFSET(C40,0,INDIRECT("E42"))</f>
        <v>5051.808594868763</v>
      </c>
      <c r="I42" s="271"/>
      <c r="J42" s="271"/>
      <c r="K42" s="271"/>
      <c r="L42" s="271"/>
      <c r="M42" s="271"/>
      <c r="N42" s="271"/>
      <c r="O42" s="271"/>
      <c r="P42" s="271"/>
      <c r="Q42" s="271"/>
      <c r="R42" s="271"/>
      <c r="S42" s="271"/>
      <c r="T42" s="271"/>
      <c r="U42" s="271"/>
      <c r="V42" s="271"/>
      <c r="W42" s="271"/>
      <c r="X42" s="271"/>
      <c r="Y42" s="271"/>
      <c r="Z42" s="271"/>
      <c r="AA42" s="271"/>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row>
    <row r="43" spans="2:53" ht="12" customHeight="1">
      <c r="B43" s="270"/>
      <c r="C43" s="270"/>
      <c r="D43" s="271"/>
      <c r="E43" s="271"/>
      <c r="F43" s="271"/>
      <c r="G43" s="271" t="s">
        <v>159</v>
      </c>
      <c r="H43" s="271">
        <f ca="1">MATCH(H42,OFFSET(C9,0,INDIRECT("E42"),24),0)</f>
        <v>12</v>
      </c>
      <c r="I43" s="271"/>
      <c r="J43" s="271"/>
      <c r="K43" s="271"/>
      <c r="L43" s="271"/>
      <c r="M43" s="271"/>
      <c r="N43" s="271"/>
      <c r="O43" s="271"/>
      <c r="P43" s="271"/>
      <c r="Q43" s="271"/>
      <c r="R43" s="271"/>
      <c r="S43" s="271"/>
      <c r="T43" s="271"/>
      <c r="U43" s="271"/>
      <c r="V43" s="271"/>
      <c r="W43" s="271"/>
      <c r="X43" s="271"/>
      <c r="Y43" s="271"/>
      <c r="Z43" s="271"/>
      <c r="AA43" s="271"/>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row>
    <row r="44" spans="2:53" ht="12" customHeight="1">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2:53" ht="12" customHeight="1">
      <c r="B45" s="270"/>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2:53" ht="8.25">
      <c r="B46" s="270"/>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2:53" ht="8.25">
      <c r="B47" s="270"/>
      <c r="C47" s="271">
        <v>1</v>
      </c>
      <c r="D47" s="271">
        <f>+D40</f>
        <v>-16711.28681019073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pans="2:53" ht="8.25">
      <c r="B48" s="270"/>
      <c r="C48" s="271">
        <f aca="true" t="shared" si="8" ref="C48:C70">+C47+1</f>
        <v>2</v>
      </c>
      <c r="D48" s="271">
        <f>+E40</f>
        <v>-2438.7062872470574</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row>
    <row r="49" spans="2:53" ht="8.25">
      <c r="B49" s="270"/>
      <c r="C49" s="271">
        <f t="shared" si="8"/>
        <v>3</v>
      </c>
      <c r="D49" s="271">
        <f>+F40</f>
        <v>1834.1109092096183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row>
    <row r="50" spans="2:53" ht="8.25">
      <c r="B50" s="270"/>
      <c r="C50" s="271">
        <f t="shared" si="8"/>
        <v>4</v>
      </c>
      <c r="D50" s="271">
        <f>+G40</f>
        <v>3512.465129240103</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row>
    <row r="51" spans="2:53" ht="8.25">
      <c r="B51" s="270"/>
      <c r="C51" s="271">
        <f t="shared" si="8"/>
        <v>5</v>
      </c>
      <c r="D51" s="271">
        <f>+H40</f>
        <v>4711.788225445766</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row>
    <row r="52" spans="2:53" ht="8.25">
      <c r="B52" s="270"/>
      <c r="C52" s="271">
        <f t="shared" si="8"/>
        <v>6</v>
      </c>
      <c r="D52" s="271">
        <f>+I40</f>
        <v>4281.800835494273</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row>
    <row r="53" spans="2:53" ht="8.25">
      <c r="B53" s="270"/>
      <c r="C53" s="271">
        <f t="shared" si="8"/>
        <v>7</v>
      </c>
      <c r="D53" s="271">
        <f>+J40</f>
        <v>4577.295632665731</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row>
    <row r="54" spans="2:53" ht="8.25">
      <c r="B54" s="270"/>
      <c r="C54" s="271">
        <f t="shared" si="8"/>
        <v>8</v>
      </c>
      <c r="D54" s="271">
        <f>+K40</f>
        <v>5051.808594868763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row>
    <row r="55" spans="2:53" ht="8.25">
      <c r="B55" s="270"/>
      <c r="C55" s="271">
        <f t="shared" si="8"/>
        <v>9</v>
      </c>
      <c r="D55" s="271">
        <f>+L40</f>
        <v>4966.502226636509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row>
    <row r="56" spans="2:53" ht="8.25">
      <c r="B56" s="270"/>
      <c r="C56" s="271">
        <f t="shared" si="8"/>
        <v>10</v>
      </c>
      <c r="D56" s="271">
        <f>+M40</f>
        <v>4271.041919526081</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row>
    <row r="57" spans="2:53" ht="8.25">
      <c r="B57" s="270"/>
      <c r="C57" s="271">
        <f t="shared" si="8"/>
        <v>11</v>
      </c>
      <c r="D57" s="271">
        <f>+N40</f>
        <v>2908.8452864667265</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row>
    <row r="58" spans="2:53" ht="8.25">
      <c r="B58" s="270"/>
      <c r="C58" s="271">
        <f t="shared" si="8"/>
        <v>12</v>
      </c>
      <c r="D58" s="271">
        <f>+O40</f>
        <v>816.4687063016827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row>
    <row r="59" spans="2:53" ht="8.25">
      <c r="B59" s="270"/>
      <c r="C59" s="271">
        <f t="shared" si="8"/>
        <v>13</v>
      </c>
      <c r="D59" s="271">
        <f>+P40</f>
        <v>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row>
    <row r="60" spans="2:53" ht="8.25">
      <c r="B60" s="270"/>
      <c r="C60" s="271">
        <f t="shared" si="8"/>
        <v>14</v>
      </c>
      <c r="D60" s="271">
        <f>+Q40</f>
        <v>0</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row>
    <row r="61" spans="2:53" ht="8.25">
      <c r="B61" s="270"/>
      <c r="C61" s="271">
        <f t="shared" si="8"/>
        <v>15</v>
      </c>
      <c r="D61" s="271">
        <f>+R40</f>
        <v>0</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row>
    <row r="62" spans="2:53" ht="8.25">
      <c r="B62" s="270"/>
      <c r="C62" s="271">
        <f t="shared" si="8"/>
        <v>16</v>
      </c>
      <c r="D62" s="271">
        <f>+S40</f>
        <v>0</v>
      </c>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row>
    <row r="63" spans="2:53" ht="8.25">
      <c r="B63" s="270"/>
      <c r="C63" s="271">
        <f t="shared" si="8"/>
        <v>17</v>
      </c>
      <c r="D63" s="271">
        <f>+T40</f>
        <v>0</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row>
    <row r="64" spans="2:53" ht="8.25">
      <c r="B64" s="270"/>
      <c r="C64" s="271">
        <f t="shared" si="8"/>
        <v>18</v>
      </c>
      <c r="D64" s="271">
        <f>+U40</f>
        <v>0</v>
      </c>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2:53" ht="8.25">
      <c r="B65" s="270"/>
      <c r="C65" s="271">
        <f t="shared" si="8"/>
        <v>19</v>
      </c>
      <c r="D65" s="271">
        <f>+V40</f>
        <v>0</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row>
    <row r="66" spans="2:53" ht="8.25">
      <c r="B66" s="270"/>
      <c r="C66" s="271">
        <f t="shared" si="8"/>
        <v>20</v>
      </c>
      <c r="D66" s="271">
        <f>+W40</f>
        <v>0</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row>
    <row r="67" spans="2:53" ht="8.25">
      <c r="B67" s="270"/>
      <c r="C67" s="271">
        <f t="shared" si="8"/>
        <v>21</v>
      </c>
      <c r="D67" s="271">
        <f>+X40</f>
        <v>0</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row>
    <row r="68" spans="2:53" ht="8.25">
      <c r="B68" s="270"/>
      <c r="C68" s="271">
        <f t="shared" si="8"/>
        <v>22</v>
      </c>
      <c r="D68" s="271">
        <f>+Y40</f>
        <v>0</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row>
    <row r="69" spans="2:53" ht="8.25">
      <c r="B69" s="270"/>
      <c r="C69" s="271">
        <f t="shared" si="8"/>
        <v>23</v>
      </c>
      <c r="D69" s="271">
        <f>+Z40</f>
        <v>0</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row>
    <row r="70" spans="2:53" ht="8.25">
      <c r="B70" s="270"/>
      <c r="C70" s="271">
        <f t="shared" si="8"/>
        <v>24</v>
      </c>
      <c r="D70" s="271">
        <f>+AA40</f>
        <v>0</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row>
    <row r="71" spans="2:53" ht="8.25">
      <c r="B71" s="270"/>
      <c r="C71" s="270"/>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row>
  </sheetData>
  <sheetProtection password="CC4D" sheet="1" objects="1" scenarios="1"/>
  <mergeCells count="7">
    <mergeCell ref="B9:B33"/>
    <mergeCell ref="G4:H4"/>
    <mergeCell ref="G5:H5"/>
    <mergeCell ref="B1:AA1"/>
    <mergeCell ref="D7:AA7"/>
    <mergeCell ref="O4:P4"/>
    <mergeCell ref="O5:P5"/>
  </mergeCells>
  <conditionalFormatting sqref="E41 D9:AA32">
    <cfRule type="cellIs" priority="1" dxfId="1" operator="lessThan" stopIfTrue="1">
      <formula>0</formula>
    </cfRule>
    <cfRule type="cellIs" priority="2" dxfId="2" operator="between" stopIfTrue="1">
      <formula>0</formula>
      <formula>4999</formula>
    </cfRule>
    <cfRule type="cellIs" priority="3" dxfId="3" operator="between" stopIfTrue="1">
      <formula>5000</formula>
      <formula>10000</formula>
    </cfRule>
  </conditionalFormatting>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RTNobre</dc:creator>
  <cp:keywords/>
  <dc:description/>
  <cp:lastModifiedBy>GM</cp:lastModifiedBy>
  <cp:lastPrinted>2006-09-12T16:23:15Z</cp:lastPrinted>
  <dcterms:created xsi:type="dcterms:W3CDTF">2004-04-06T12:18:45Z</dcterms:created>
  <dcterms:modified xsi:type="dcterms:W3CDTF">2006-10-10T08:07:22Z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